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440" windowHeight="11460" firstSheet="3" activeTab="3"/>
  </bookViews>
  <sheets>
    <sheet name="12 jours" sheetId="1" state="hidden" r:id="rId1"/>
    <sheet name="12 jours_annexe" sheetId="2" state="hidden" r:id="rId2"/>
    <sheet name="10 jours" sheetId="3" state="hidden" r:id="rId3"/>
    <sheet name="Tableau de base" sheetId="4" r:id="rId4"/>
    <sheet name="8 jours - 1ère nuit dodo" sheetId="5" state="hidden" r:id="rId5"/>
    <sheet name="9 jours" sheetId="6" r:id="rId6"/>
    <sheet name="Reco 11,5 jours" sheetId="7" r:id="rId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<sst xmlns="http://schemas.openxmlformats.org/spreadsheetml/2006/main" count="359" uniqueCount="162">
  <si>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</si>
  <si>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</si>
  <si>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</si>
  <si>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</si>
  <si>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</si>
  <si>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</si>
  <si>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</si>
  <si>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</si>
  <si>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</si>
  <si>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</si>
  <si>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Etape 11</t>
  </si>
  <si>
    <t>Etape 12</t>
  </si>
  <si>
    <t>Etape 13</t>
  </si>
  <si>
    <t>Etape 14</t>
  </si>
  <si>
    <t>Etape 15</t>
  </si>
  <si>
    <t>Etape 16</t>
  </si>
  <si>
    <t>Etape 17</t>
  </si>
  <si>
    <t>Etape 18</t>
  </si>
  <si>
    <t>Etape 19</t>
  </si>
  <si>
    <t>Etape 20</t>
  </si>
  <si>
    <t>Etape 21</t>
  </si>
  <si>
    <t>Etape 22</t>
  </si>
  <si>
    <t>Etape 23</t>
  </si>
  <si>
    <t>Etape 24</t>
  </si>
  <si>
    <t>Wassy</t>
  </si>
  <si>
    <t>Saulieu</t>
  </si>
  <si>
    <t>Semur en Brionnais</t>
  </si>
  <si>
    <t>Sauges</t>
  </si>
  <si>
    <t>Rieutord</t>
  </si>
  <si>
    <t>Le Bleymard</t>
  </si>
  <si>
    <t>Le Vigan</t>
  </si>
  <si>
    <t>lacaune</t>
  </si>
  <si>
    <t>Ladern sur Lauquet</t>
  </si>
  <si>
    <t>Espézel</t>
  </si>
  <si>
    <t>Distance</t>
  </si>
  <si>
    <t>Déniv</t>
  </si>
  <si>
    <t>Couchage</t>
  </si>
  <si>
    <t>A voir</t>
  </si>
  <si>
    <t>Lien openrunner</t>
  </si>
  <si>
    <t>Camping de Wassy
"Les Lécheres"</t>
  </si>
  <si>
    <t>http://www.openrunner.com/index.php?id=7792173</t>
  </si>
  <si>
    <t>- Colombey les deux Eglises
- Abbaye de Clairvaux
- Vallée de l'Aube
- Châtillon sur Seine
- Abbaye de Fontenay
- Alésia
- Semur en Auxois
- Saulieu</t>
  </si>
  <si>
    <t>Camping de Saulieu
"Le Perron"</t>
  </si>
  <si>
    <t>http://www.openrunner.com/index.php?id=7296880</t>
  </si>
  <si>
    <t>Camping de Marcigny
"La Motte aux Merles</t>
  </si>
  <si>
    <t>http://www.openrunner.com/index.php?id=7792330</t>
  </si>
  <si>
    <t>- le Morvan
- Ruines gallo-romaine du Mt Beuvray
- Parray le Monial
- Anzy le Duc
- Marcigny (et Semur en Brionnais à coté)</t>
  </si>
  <si>
    <t>St Eloy la Glacière</t>
  </si>
  <si>
    <t>- Sail les Bains
- Châtelus
- Châtel Montagne
- Le Mayet de Montagne
- Ferrières sur Sichon
- Aubuisson d'Auvergne
- St Dier d'Auvergne</t>
  </si>
  <si>
    <t>http://www.openrunner.com/index.php?id=7792366</t>
  </si>
  <si>
    <t>http://www.openrunner.com/index.php?id=7792465</t>
  </si>
  <si>
    <t>Saugues
"Camping Municipal de la Seuge"</t>
  </si>
  <si>
    <t>http://www.openrunner.com/index.php?id=7792555</t>
  </si>
  <si>
    <t>Cubières - Le Bleymard
"La Gazelle"</t>
  </si>
  <si>
    <t>http://www.openrunner.com/index.php?id=7792597</t>
  </si>
  <si>
    <t>Avèze
"Camping Municipal du Vieux Pont"</t>
  </si>
  <si>
    <t>http://www.openrunner.com/index.php?id=7792681</t>
  </si>
  <si>
    <t>- Le Bleymard
- Col de Finiels - Mont Lozère
- Pont de Mautvert (baignade)
- Barre des Cévennes - Parc National des Cévennes
- Corniche des Cévennes - Le Pompidou
- Mont Aigoual</t>
  </si>
  <si>
    <t>Massat "Le Maxil"</t>
  </si>
  <si>
    <t>Lacaune
"camping des Sources Chaudes"</t>
  </si>
  <si>
    <t>- Cirque de Navacelles
- La Caylar
- La couvertoirade
- Abbaye de Sylvanès
- Parc Naturel Régional du Haut Languedoc
- Source de Lacaune</t>
  </si>
  <si>
    <t>http://www.openrunner.com/index.php?id=7792719</t>
  </si>
  <si>
    <t>Ladern-sur-Lauquet
Camping à la Ferme "Guy Delrieu"</t>
  </si>
  <si>
    <t>http://www.openrunner.com/index.php?id=7792817</t>
  </si>
  <si>
    <t>Espezel
Camping "Le Calcat"</t>
  </si>
  <si>
    <t>http://www.openrunner.com/index.php?id=7793111</t>
  </si>
  <si>
    <t>- Gorges du Rébenty
- Route des Corniches
- Col de Port</t>
  </si>
  <si>
    <t>http://www.openrunner.com/index.php?id=7793121</t>
  </si>
  <si>
    <t>Etape de Repos - Marche à pied + Baignade</t>
  </si>
  <si>
    <t>Usclades-et-Rieutord
Camping Municipal de Rieutord</t>
  </si>
  <si>
    <t>St Germain d'Herm
"Camping de St Eloy"</t>
  </si>
  <si>
    <t>N° Openrunner</t>
  </si>
  <si>
    <t>- Basilique d'Avioth - Ligne Maginot
- Forteresse de Montmédy
- Champ de Bataille de Verdun
- Beaumont l'Argonne
- Trois Fontaines l'Abbaye
- St Dizier</t>
  </si>
  <si>
    <t>- Brioude
- Lavaudieu
- St Ilpize
- Lavoute Chilhac
- Mont Mouchet
- Saugues - Chemin de Compostelle</t>
  </si>
  <si>
    <t>- Le Dèves - Gorges de l'Allier
- Lac du Bouchet (baignade)
- Le Monistrol sur Gazeille
- Mt Mézenc
- Mt Gerbier de Jonc
- Gorges de la Loire</t>
  </si>
  <si>
    <t>- Col de Meyrand
- Loubaresse
- Corniche de Vivarois Cévenol
- Les Cévennes Gardoise - Thines
- Villefort
- Le Bleymard</t>
  </si>
  <si>
    <t>-Gorges du Banquet
- Pic Nore
- Château de Latours
- Carcassonne
- Abbaye de St Hilaire</t>
  </si>
  <si>
    <t>- Gorges de l'Orbieu
- Château de Lanet
- Gorges de Galamus (baignade)
- Château de Puylaurens
- Gorges du Rébenty</t>
  </si>
  <si>
    <t>Verdun</t>
  </si>
  <si>
    <t>Cubières</t>
  </si>
  <si>
    <t>Massat</t>
  </si>
  <si>
    <t>Le Pont de Mautvert
Baignade sur le Tarn
Camping Municipal</t>
  </si>
  <si>
    <t>Colombey les deux Eglises
Le Grand Charles</t>
  </si>
  <si>
    <t>Gîte étape de Huis Prunelle - 9,5€/pers
Le Morvan de Mitterand</t>
  </si>
  <si>
    <t>Le Mayet Montagne - Montagne d'Allier</t>
  </si>
  <si>
    <t>Lavoute Chilhac - Vallée de l'Allier
Camping municipal</t>
  </si>
  <si>
    <t>Sainte Eulalie - Source de la Loire
Camping municipal</t>
  </si>
  <si>
    <t>Le Caylar
Co Gîte du Larzac - 14€/pers</t>
  </si>
  <si>
    <t>Mazamet
Camping de la Lauze</t>
  </si>
  <si>
    <t>St Paul de Fenouillet
Camping de l'Agly</t>
  </si>
  <si>
    <t>* Gîte d'étape benjamin / 4, rue de Palmières / 66220 PRUGNANES / 06.80.41.27.53 / 18€ nuit</t>
  </si>
  <si>
    <t>* Longchamp-sur-Aujon / Gîte chez JO / 10 rue Piverotte / 03.25.27.34.65 / 33€20 pers (réservé sur booking)</t>
  </si>
  <si>
    <t>* Damvilliers / Hôtel de la Croix Blanche / 1 rue Carnot / 03.29.80.73.13 / 50€
* Ferme : 1 Rue de la Mairie / 55150 Moirey / 03 29 85 61 62 / 55€ Petit Déj</t>
  </si>
  <si>
    <t>* Domaine des 3 Tileuls / Isabelle et Frédéric JOLY / 48400 - Saint-Julien-d'Arpaon / Tél. : 04 66 45 25 94 ou 06 48 25 26 68 / 38€ PDJ</t>
  </si>
  <si>
    <t>* Acceuil Pèlerin - Le cœur du Christ - Paray-le-Nomial / 21€ pers / 03.85.81.05.43</t>
  </si>
  <si>
    <r>
      <rPr>
        <b/>
        <sz val="11"/>
        <color indexed="17"/>
        <rFont val="Calibri"/>
        <family val="2"/>
      </rPr>
      <t>* Echandelys - Gite Etape des 2 frères / 15€ pers / 04.73.72.15.92</t>
    </r>
    <r>
      <rPr>
        <sz val="11"/>
        <color theme="1"/>
        <rFont val="Calibri"/>
        <family val="2"/>
      </rPr>
      <t xml:space="preserve">
* L'Étape Gourmande / 18 Rue de la Poste / 63590 Cunlhat / 04.73.72.23.12</t>
    </r>
  </si>
  <si>
    <r>
      <rPr>
        <b/>
        <sz val="11"/>
        <color indexed="17"/>
        <rFont val="Calibri"/>
        <family val="2"/>
      </rPr>
      <t>* GE "La Margeride" / 04.71.77.60.97 / DP 34€ pers / 8 rue des Tours Neuves</t>
    </r>
    <r>
      <rPr>
        <sz val="11"/>
        <color theme="1"/>
        <rFont val="Calibri"/>
        <family val="2"/>
      </rPr>
      <t xml:space="preserve">
</t>
    </r>
    <r>
      <rPr>
        <b/>
        <sz val="11"/>
        <color indexed="30"/>
        <rFont val="Calibri"/>
        <family val="2"/>
      </rPr>
      <t>* GE municipal du Chemin de St Jacques de Compostelle / 14€ pers</t>
    </r>
  </si>
  <si>
    <r>
      <rPr>
        <b/>
        <sz val="11"/>
        <color indexed="30"/>
        <rFont val="Calibri"/>
        <family val="2"/>
      </rPr>
      <t xml:space="preserve">* GE </t>
    </r>
    <r>
      <rPr>
        <b/>
        <sz val="11"/>
        <color indexed="30"/>
        <rFont val="Calibri"/>
        <family val="2"/>
      </rPr>
      <t xml:space="preserve">Mas du Pas de l'âne / Bel Air / 07330 Astet / 04.75.88.51.99 / 42,5€ DP
* GE Auberge du BEZ / 07590 Borne / 04.66.46.60.54 / 41€ DP
</t>
    </r>
    <r>
      <rPr>
        <b/>
        <sz val="11"/>
        <color indexed="17"/>
        <rFont val="Calibri"/>
        <family val="2"/>
      </rPr>
      <t>* GE Gîte de l'église / Loubaresse / 06.71.17.29.70 / 42€ DP</t>
    </r>
  </si>
  <si>
    <t>* AJ - La petite Auberge de St-Sernin / 17 rue d'Embarthe / Toulouse / 07.60.88.17.17 / 22€ pers</t>
  </si>
  <si>
    <t>Avioth</t>
  </si>
  <si>
    <t>Fort de Douaumont</t>
  </si>
  <si>
    <t>Trois Fontaines l’Abbaye</t>
  </si>
  <si>
    <t>Colombey les deux églises</t>
  </si>
  <si>
    <t>Châtillon sur Seine</t>
  </si>
  <si>
    <t>Flavigny sur Ozerain</t>
  </si>
  <si>
    <t>Mont Beuvrey</t>
  </si>
  <si>
    <t>Ferrières-sur-Sichon</t>
  </si>
  <si>
    <t>Saint Dier d’Auvergne</t>
  </si>
  <si>
    <t>Lavaudieu</t>
  </si>
  <si>
    <t>Mont Mouchet</t>
  </si>
  <si>
    <t>Lac du Bouchet</t>
  </si>
  <si>
    <t>Mont Gerbier de Jonc</t>
  </si>
  <si>
    <t>Thines</t>
  </si>
  <si>
    <t>Le Pompidou</t>
  </si>
  <si>
    <t>Navacelles</t>
  </si>
  <si>
    <t>Navacelle</t>
  </si>
  <si>
    <t>La Couvertoirade</t>
  </si>
  <si>
    <t>Lacaune</t>
  </si>
  <si>
    <t>Pradelles</t>
  </si>
  <si>
    <t>Lairière</t>
  </si>
  <si>
    <t>Château de Puilaurens</t>
  </si>
  <si>
    <t>Ignaux</t>
  </si>
  <si>
    <t>Étape</t>
  </si>
  <si>
    <t>De</t>
  </si>
  <si>
    <t>À</t>
  </si>
  <si>
    <t>Déniv. +</t>
  </si>
  <si>
    <t>Déniv. -</t>
  </si>
  <si>
    <t>Dodo</t>
  </si>
  <si>
    <t>Axat</t>
  </si>
  <si>
    <t>Dist. Totale</t>
  </si>
  <si>
    <t>Villaines en Duesmois</t>
  </si>
  <si>
    <t>Paray le Monial</t>
  </si>
  <si>
    <t>Auriac</t>
  </si>
  <si>
    <t>Partielle</t>
  </si>
  <si>
    <t>Cumulée</t>
  </si>
  <si>
    <t>Colombey les deux Eglises</t>
  </si>
  <si>
    <t>Anost</t>
  </si>
  <si>
    <t>St-Paul-de-Fenouillet</t>
  </si>
  <si>
    <t>A</t>
  </si>
  <si>
    <t>Dist</t>
  </si>
  <si>
    <t>D+</t>
  </si>
  <si>
    <t>D-</t>
  </si>
  <si>
    <t>Etape</t>
  </si>
  <si>
    <t>Lieux de couchage conseillé</t>
  </si>
  <si>
    <t>Celles sur Durolle</t>
  </si>
  <si>
    <t>Saugues</t>
  </si>
  <si>
    <t>Journalière</t>
  </si>
  <si>
    <t>L'Espérou</t>
  </si>
  <si>
    <t>Ratio</t>
  </si>
  <si>
    <r>
      <t xml:space="preserve">Sur le Chemin de Compostelle. Il y a tous les commerces et beaucoup de Gîte d'Etape même un camping. Très fort choix de couchage et de restauration. Vous êtes au pays des marcheurs.
</t>
    </r>
    <r>
      <rPr>
        <b/>
        <sz val="11"/>
        <color indexed="30"/>
        <rFont val="Calibri"/>
        <family val="2"/>
      </rPr>
      <t>La journée n'est pas méchante non plus. Très désert autour du Mt Mouchet</t>
    </r>
  </si>
  <si>
    <r>
      <t xml:space="preserve">Tous commerces. Camping. Sources d'eaux chaudes. Charcutterie.
</t>
    </r>
    <r>
      <rPr>
        <b/>
        <sz val="11"/>
        <color indexed="30"/>
        <rFont val="Calibri"/>
        <family val="2"/>
      </rPr>
      <t>Jounées facile à part les 30 derniers km avant Lacaune</t>
    </r>
  </si>
  <si>
    <t>Tous commerces. Camping. Arrivée</t>
  </si>
  <si>
    <t>Remarques</t>
  </si>
  <si>
    <r>
      <t xml:space="preserve">Tous les commerces (dont hotel). Possibilité de se reposer dans la plaine en milieu de journée. Le Gîte des 4 vents de la FFCT / FFVélo n'est pas loin pour les adhérants.
</t>
    </r>
    <r>
      <rPr>
        <b/>
        <sz val="11"/>
        <color indexed="30"/>
        <rFont val="Calibri"/>
        <family val="2"/>
      </rPr>
      <t xml:space="preserve">Journée entre Morvan et Massif Central mais rien de méchant. </t>
    </r>
  </si>
  <si>
    <r>
      <t xml:space="preserve">Au milieu du Morvan. Tous commerces. Hotel Fortin / fait aussi Gîte d'Etape / Dans le village
Gîte communal de Athez (11€ / pers.) - 5 personnes mini - 5km au Sud du village.
</t>
    </r>
    <r>
      <rPr>
        <b/>
        <sz val="11"/>
        <color indexed="30"/>
        <rFont val="Calibri"/>
        <family val="2"/>
      </rPr>
      <t>Fin de journée difficile mais vous pouvez aller un peu plus loin si vous bivouaquer  (St-Prix, St Léger sous Beuvray)</t>
    </r>
  </si>
  <si>
    <r>
      <t xml:space="preserve">Nombreux couchages à Colombey mais pas épicerie. Sinon, bivouac en forêt. J'ai dormi à Longchamp-sur-Aujon.
Outre la prison, couchage possible à Clairvaux (à privilégier car fera une bonne journée).
</t>
    </r>
    <r>
      <rPr>
        <b/>
        <sz val="11"/>
        <color indexed="30"/>
        <rFont val="Calibri"/>
        <family val="2"/>
      </rPr>
      <t>Ne pas hésiter à rouler tant que vous gardez une bonne nuit de sommeil et que vous n'êtes pas au-dessus de vos moyens.</t>
    </r>
  </si>
  <si>
    <r>
      <t xml:space="preserve">Nombreux Gîte d'Etage sur la ligne de crêtes depuis le Mt Gerbier, j'ai dormi à Loubaresse au Gîte de l'Ecole.
Superbe endroit que Thines mais rien pour faire les courses (GE Communal : 06.29.31.92.00). Presque pas de commerce depuis le Monastier sur Gazeille ou pousser jusque Pied-de-Borne.
</t>
    </r>
    <r>
      <rPr>
        <b/>
        <sz val="11"/>
        <color indexed="30"/>
        <rFont val="Calibri"/>
        <family val="2"/>
      </rPr>
      <t>La seconde partie de journée est vallonée mais superbe et les montées ne sont ni longues ni raides.</t>
    </r>
  </si>
  <si>
    <r>
      <t xml:space="preserve">4 Gites d'étapes et Hotel. 2ème partie de journées très difficile dans les Cévènnes. Montées longues, sévères et révetement en mauvais état. 
</t>
    </r>
    <r>
      <rPr>
        <b/>
        <sz val="11"/>
        <color indexed="30"/>
        <rFont val="Calibri"/>
        <family val="2"/>
      </rPr>
      <t>Nombreuses autres possibilités en bas au Vigan (tous commerces dont vélos) ou Avèze.</t>
    </r>
  </si>
  <si>
    <r>
      <t xml:space="preserve">Tous commerces. Camping. Vignobles. Gorges de Galamus. Il faut être dans cette vallée entre St-Paul et Axiat pour ne pas trop courir le lendemain.
J'ai dormi en 1/2 pension au GE de Prugnanes
</t>
    </r>
    <r>
      <rPr>
        <b/>
        <sz val="11"/>
        <color indexed="30"/>
        <rFont val="Calibri"/>
        <family val="2"/>
      </rPr>
      <t>Possibilité de pousser dans la vallée et ne pas hésiter car c'est une journée facile qui se termine, celle du lendemain pique.</t>
    </r>
  </si>
  <si>
    <r>
      <rPr>
        <b/>
        <sz val="11"/>
        <color indexed="17"/>
        <rFont val="Calibri"/>
        <family val="2"/>
      </rPr>
      <t>*</t>
    </r>
    <r>
      <rPr>
        <b/>
        <sz val="11"/>
        <color indexed="30"/>
        <rFont val="Calibri"/>
        <family val="2"/>
      </rPr>
      <t>Co Gîte du Larzac - 14€/pers</t>
    </r>
  </si>
  <si>
    <t>* Warm-Shower</t>
  </si>
  <si>
    <r>
      <rPr>
        <b/>
        <sz val="11"/>
        <color indexed="17"/>
        <rFont val="Calibri"/>
        <family val="2"/>
      </rPr>
      <t xml:space="preserve">* Warm-Shower
* </t>
    </r>
    <r>
      <rPr>
        <b/>
        <sz val="11"/>
        <color indexed="30"/>
        <rFont val="Calibri"/>
        <family val="2"/>
      </rPr>
      <t>Centre équestre de Saulieu / Chemin Conrieux / 06.80.71.31.60 / 15€ pers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</si>
</sst>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km&quot;"/>
    <numFmt numFmtId="165" formatCode="0&quot; m&quot;"/>
    <numFmt numFmtId="166" formatCode="0.0%"/>
    <numFmt numFmtId="167" formatCode="0.000%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  <numFmt numFmtId="173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8">
    <xf numFmtId="0" fontId="0" fillId="0" borderId="0" xfId="0" applyFont="1" applyAlignment="1">
      <alignment/>
    </xf>
    <xf numFmtId="165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7" fontId="40" fillId="0" borderId="19" xfId="52" applyNumberFormat="1" applyFont="1" applyBorder="1" applyAlignment="1">
      <alignment/>
    </xf>
    <xf numFmtId="0" fontId="0" fillId="0" borderId="20" xfId="0" applyBorder="1" applyAlignment="1">
      <alignment/>
    </xf>
    <xf numFmtId="167" fontId="40" fillId="0" borderId="21" xfId="52" applyNumberFormat="1" applyFont="1" applyBorder="1" applyAlignment="1">
      <alignment/>
    </xf>
    <xf numFmtId="0" fontId="0" fillId="0" borderId="22" xfId="0" applyBorder="1" applyAlignment="1">
      <alignment/>
    </xf>
    <xf numFmtId="167" fontId="40" fillId="0" borderId="23" xfId="52" applyNumberFormat="1" applyFont="1" applyBorder="1" applyAlignment="1">
      <alignment/>
    </xf>
    <xf numFmtId="167" fontId="40" fillId="0" borderId="24" xfId="52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25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wrapText="1"/>
    </xf>
    <xf numFmtId="0" fontId="30" fillId="0" borderId="10" xfId="45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7" fontId="40" fillId="0" borderId="21" xfId="52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7" fontId="40" fillId="0" borderId="23" xfId="52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7" fontId="40" fillId="0" borderId="24" xfId="52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7" fontId="40" fillId="0" borderId="19" xfId="5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 quotePrefix="1">
      <alignment horizontal="left" vertical="center" wrapText="1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7" fontId="0" fillId="0" borderId="0" xfId="52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7" fontId="0" fillId="0" borderId="0" xfId="52" applyNumberFormat="1" applyFont="1" applyAlignment="1">
      <alignment horizontal="center" vertical="center"/>
    </xf>
    <xf numFmtId="167" fontId="40" fillId="0" borderId="10" xfId="52" applyNumberFormat="1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left" vertical="center" wrapText="1"/>
    </xf>
    <xf numFmtId="0" fontId="0" fillId="0" borderId="3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64" fontId="0" fillId="0" borderId="42" xfId="0" applyNumberFormat="1" applyBorder="1" applyAlignment="1">
      <alignment vertical="center"/>
    </xf>
    <xf numFmtId="164" fontId="0" fillId="0" borderId="4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5" fontId="0" fillId="0" borderId="38" xfId="0" applyNumberFormat="1" applyBorder="1" applyAlignment="1">
      <alignment horizontal="center" vertical="center" wrapText="1"/>
    </xf>
    <xf numFmtId="10" fontId="0" fillId="0" borderId="46" xfId="52" applyNumberFormat="1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/>
    </xf>
    <xf numFmtId="10" fontId="0" fillId="0" borderId="48" xfId="52" applyNumberFormat="1" applyFont="1" applyBorder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5" fontId="0" fillId="0" borderId="34" xfId="0" applyNumberFormat="1" applyBorder="1" applyAlignment="1">
      <alignment vertical="center" wrapText="1"/>
    </xf>
    <xf numFmtId="10" fontId="0" fillId="0" borderId="49" xfId="52" applyNumberFormat="1" applyFont="1" applyBorder="1" applyAlignment="1">
      <alignment vertical="center" wrapText="1"/>
    </xf>
    <xf numFmtId="164" fontId="0" fillId="0" borderId="47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40" fillId="0" borderId="45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0" fontId="0" fillId="0" borderId="61" xfId="52" applyNumberFormat="1" applyFont="1" applyBorder="1" applyAlignment="1">
      <alignment horizontal="center" vertical="center" wrapText="1"/>
    </xf>
    <xf numFmtId="10" fontId="0" fillId="0" borderId="46" xfId="52" applyNumberFormat="1" applyFont="1" applyBorder="1" applyAlignment="1">
      <alignment horizontal="center" vertical="center" wrapText="1"/>
    </xf>
    <xf numFmtId="10" fontId="0" fillId="0" borderId="49" xfId="52" applyNumberFormat="1" applyFont="1" applyBorder="1" applyAlignment="1">
      <alignment horizontal="center" vertical="center" wrapText="1"/>
    </xf>
    <xf numFmtId="165" fontId="0" fillId="0" borderId="36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164" fontId="0" fillId="0" borderId="62" xfId="0" applyNumberFormat="1" applyBorder="1" applyAlignment="1">
      <alignment horizontal="center" vertical="center" wrapText="1"/>
    </xf>
    <xf numFmtId="164" fontId="0" fillId="0" borderId="63" xfId="0" applyNumberFormat="1" applyBorder="1" applyAlignment="1">
      <alignment horizontal="center" vertical="center" wrapText="1"/>
    </xf>
    <xf numFmtId="164" fontId="0" fillId="0" borderId="64" xfId="0" applyNumberFormat="1" applyBorder="1" applyAlignment="1">
      <alignment horizontal="center" vertical="center" wrapText="1"/>
    </xf>
    <xf numFmtId="165" fontId="0" fillId="0" borderId="65" xfId="0" applyNumberFormat="1" applyBorder="1" applyAlignment="1">
      <alignment horizontal="center" vertical="center" wrapText="1"/>
    </xf>
    <xf numFmtId="165" fontId="0" fillId="0" borderId="66" xfId="0" applyNumberFormat="1" applyBorder="1" applyAlignment="1">
      <alignment horizontal="center" vertical="center" wrapText="1"/>
    </xf>
    <xf numFmtId="165" fontId="0" fillId="0" borderId="6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167" fontId="0" fillId="0" borderId="49" xfId="52" applyNumberFormat="1" applyFont="1" applyBorder="1" applyAlignment="1">
      <alignment horizontal="center" vertical="center" wrapText="1"/>
    </xf>
    <xf numFmtId="167" fontId="0" fillId="0" borderId="61" xfId="52" applyNumberFormat="1" applyFont="1" applyBorder="1" applyAlignment="1">
      <alignment horizontal="center" vertical="center" wrapText="1"/>
    </xf>
    <xf numFmtId="167" fontId="0" fillId="0" borderId="46" xfId="52" applyNumberFormat="1" applyFon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165" fontId="0" fillId="0" borderId="38" xfId="0" applyNumberForma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7" fontId="0" fillId="0" borderId="59" xfId="52" applyNumberFormat="1" applyFont="1" applyBorder="1" applyAlignment="1">
      <alignment horizontal="center" vertical="center" wrapText="1"/>
    </xf>
    <xf numFmtId="167" fontId="0" fillId="0" borderId="60" xfId="52" applyNumberFormat="1" applyFont="1" applyBorder="1" applyAlignment="1">
      <alignment horizontal="center" vertical="center" wrapText="1"/>
    </xf>
    <xf numFmtId="167" fontId="0" fillId="0" borderId="69" xfId="52" applyNumberFormat="1" applyFont="1" applyBorder="1" applyAlignment="1">
      <alignment horizontal="center" vertical="center" wrapText="1"/>
    </xf>
    <xf numFmtId="167" fontId="0" fillId="0" borderId="48" xfId="52" applyNumberFormat="1" applyFont="1" applyBorder="1" applyAlignment="1">
      <alignment horizontal="center" vertical="center" wrapText="1"/>
    </xf>
    <xf numFmtId="165" fontId="0" fillId="0" borderId="44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 wrapText="1"/>
    </xf>
    <xf numFmtId="167" fontId="40" fillId="0" borderId="28" xfId="52" applyNumberFormat="1" applyFont="1" applyBorder="1" applyAlignment="1">
      <alignment horizontal="center" vertical="center"/>
    </xf>
    <xf numFmtId="167" fontId="40" fillId="0" borderId="51" xfId="52" applyNumberFormat="1" applyFon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7" fontId="40" fillId="0" borderId="10" xfId="52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40" fillId="0" borderId="28" xfId="0" applyFont="1" applyBorder="1" applyAlignment="1" quotePrefix="1">
      <alignment horizontal="left" vertical="center" wrapText="1"/>
    </xf>
    <xf numFmtId="0" fontId="44" fillId="0" borderId="28" xfId="0" applyFont="1" applyBorder="1" applyAlignment="1" quotePrefix="1">
      <alignment horizontal="left" vertical="center" wrapText="1"/>
    </xf>
    <xf numFmtId="0" fontId="44" fillId="0" borderId="51" xfId="0" applyFont="1" applyBorder="1" applyAlignment="1">
      <alignment horizontal="left" vertical="center" wrapText="1"/>
    </xf>
    <xf numFmtId="0" fontId="44" fillId="0" borderId="50" xfId="0" applyFont="1" applyBorder="1" applyAlignment="1">
      <alignment horizontal="left" vertical="center" wrapText="1"/>
    </xf>
    <xf numFmtId="0" fontId="45" fillId="0" borderId="28" xfId="0" applyFont="1" applyBorder="1" applyAlignment="1" quotePrefix="1">
      <alignment horizontal="left" vertical="center" wrapText="1"/>
    </xf>
    <xf numFmtId="0" fontId="42" fillId="0" borderId="28" xfId="0" applyFont="1" applyBorder="1" applyAlignment="1" quotePrefix="1">
      <alignment horizontal="left" vertical="center" wrapText="1"/>
    </xf>
    <xf numFmtId="0" fontId="3" fillId="0" borderId="28" xfId="0" applyFont="1" applyBorder="1" applyAlignment="1" quotePrefix="1">
      <alignment horizontal="left" vertical="center" wrapText="1"/>
    </xf>
    <xf numFmtId="0" fontId="44" fillId="0" borderId="50" xfId="0" applyFont="1" applyBorder="1" applyAlignment="1" quotePrefix="1">
      <alignment horizontal="left" vertical="center" wrapText="1"/>
    </xf>
    <xf numFmtId="0" fontId="44" fillId="0" borderId="51" xfId="0" applyFont="1" applyBorder="1" applyAlignment="1" quotePrefix="1">
      <alignment horizontal="left" vertical="center" wrapText="1"/>
    </xf>
    <xf numFmtId="0" fontId="46" fillId="0" borderId="51" xfId="0" applyFont="1" applyBorder="1" applyAlignment="1" quotePrefix="1">
      <alignment horizontal="left" vertical="center" wrapText="1"/>
    </xf>
    <xf numFmtId="0" fontId="46" fillId="0" borderId="50" xfId="0" applyFont="1" applyBorder="1" applyAlignment="1" quotePrefix="1">
      <alignment horizontal="left" vertical="center" wrapText="1"/>
    </xf>
    <xf numFmtId="173" fontId="0" fillId="0" borderId="51" xfId="0" applyNumberFormat="1" applyBorder="1" applyAlignment="1">
      <alignment horizontal="center" vertical="center"/>
    </xf>
    <xf numFmtId="173" fontId="0" fillId="0" borderId="50" xfId="0" applyNumberFormat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9">
    <dxf>
      <font>
        <b/>
        <i val="0"/>
        <u val="none"/>
        <strike val="0"/>
        <color auto="1"/>
      </font>
      <fill>
        <patternFill patternType="mediumGray">
          <fgColor rgb="FFFF000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none"/>
        <strike val="0"/>
        <color auto="1"/>
      </font>
      <fill>
        <patternFill patternType="mediumGray">
          <fgColor rgb="FFFF000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0" tint="-0.149959996342659"/>
      </font>
    </dxf>
    <dxf>
      <font>
        <b/>
        <i val="0"/>
        <u val="none"/>
        <strike val="0"/>
        <color auto="1"/>
      </font>
      <fill>
        <patternFill patternType="mediumGray">
          <fgColor rgb="FFFF000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none"/>
        <strike val="0"/>
        <color auto="1"/>
      </font>
      <fill>
        <patternFill patternType="mediumGray">
          <fgColor rgb="FFFF000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none"/>
        <strike val="0"/>
        <color auto="1"/>
      </font>
      <fill>
        <patternFill patternType="mediumGray">
          <fgColor rgb="FFFF000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u val="none"/>
        <strike val="0"/>
        <color auto="1"/>
      </font>
      <fill>
        <patternFill patternType="mediumGray">
          <fgColor rgb="FFFF0000"/>
          <bgColor theme="0"/>
        </patternFill>
      </fill>
      <border/>
    </dxf>
    <dxf>
      <font>
        <strike val="0"/>
        <color theme="0" tint="-0.149959996342659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runner.com/index.php?id=7296880" TargetMode="External" /><Relationship Id="rId2" Type="http://schemas.openxmlformats.org/officeDocument/2006/relationships/hyperlink" Target="http://www.openrunner.com/index.php?id=7792173" TargetMode="External" /><Relationship Id="rId3" Type="http://schemas.openxmlformats.org/officeDocument/2006/relationships/hyperlink" Target="http://www.openrunner.com/index.php?id=7792366" TargetMode="External" /><Relationship Id="rId4" Type="http://schemas.openxmlformats.org/officeDocument/2006/relationships/hyperlink" Target="http://www.openrunner.com/index.php?id=7792330" TargetMode="External" /><Relationship Id="rId5" Type="http://schemas.openxmlformats.org/officeDocument/2006/relationships/hyperlink" Target="http://www.openrunner.com/index.php?id=7792465" TargetMode="External" /><Relationship Id="rId6" Type="http://schemas.openxmlformats.org/officeDocument/2006/relationships/hyperlink" Target="http://www.openrunner.com/index.php?id=7792555" TargetMode="External" /><Relationship Id="rId7" Type="http://schemas.openxmlformats.org/officeDocument/2006/relationships/hyperlink" Target="http://www.openrunner.com/index.php?id=7792597" TargetMode="External" /><Relationship Id="rId8" Type="http://schemas.openxmlformats.org/officeDocument/2006/relationships/hyperlink" Target="http://www.openrunner.com/index.php?id=7792681" TargetMode="External" /><Relationship Id="rId9" Type="http://schemas.openxmlformats.org/officeDocument/2006/relationships/hyperlink" Target="http://www.openrunner.com/index.php?id=7792719" TargetMode="External" /><Relationship Id="rId10" Type="http://schemas.openxmlformats.org/officeDocument/2006/relationships/hyperlink" Target="http://www.openrunner.com/index.php?id=7792817" TargetMode="External" /><Relationship Id="rId11" Type="http://schemas.openxmlformats.org/officeDocument/2006/relationships/hyperlink" Target="http://www.openrunner.com/index.php?id=7793111" TargetMode="External" /><Relationship Id="rId12" Type="http://schemas.openxmlformats.org/officeDocument/2006/relationships/hyperlink" Target="http://www.openrunner.com/index.php?id=7793121" TargetMode="External" /><Relationship Id="rId1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0">
      <selection activeCell="F43" sqref="F43"/>
    </sheetView>
  </sheetViews>
  <sheetFormatPr defaultColWidth="11.421875" defaultRowHeight="15"/>
  <cols>
    <col min="2" max="2" width="8.421875" style="0" bestFit="1" customWidth="1"/>
    <col min="8" max="8" width="18.28125" style="0" bestFit="1" customWidth="1"/>
  </cols>
  <sheetData>
    <row r="1" ht="15.75" thickBot="1"/>
    <row r="2" spans="2:11" ht="15">
      <c r="B2" s="11" t="s">
        <v>0</v>
      </c>
      <c r="C2" s="2">
        <v>68.33</v>
      </c>
      <c r="D2" s="3">
        <v>950</v>
      </c>
      <c r="E2" s="4">
        <v>779</v>
      </c>
      <c r="F2" s="12">
        <f aca="true" t="shared" si="0" ref="F2:F34">(D2/(C2*1000))</f>
        <v>0.013903117225230499</v>
      </c>
      <c r="I2" s="20"/>
      <c r="J2" s="20">
        <f>IF(I1&gt;0,C2-I1,C2)</f>
        <v>68.33</v>
      </c>
      <c r="K2" s="116">
        <f>SUM(I2:J4)</f>
        <v>189.88</v>
      </c>
    </row>
    <row r="3" spans="2:11" ht="15">
      <c r="B3" s="13" t="s">
        <v>1</v>
      </c>
      <c r="C3" s="5">
        <v>81.55</v>
      </c>
      <c r="D3" s="1">
        <v>868</v>
      </c>
      <c r="E3" s="6">
        <v>1094</v>
      </c>
      <c r="F3" s="14">
        <f t="shared" si="0"/>
        <v>0.010643776824034334</v>
      </c>
      <c r="I3" s="20"/>
      <c r="J3" s="20">
        <f>IF(I2&gt;0,C3-I2,C3)</f>
        <v>81.55</v>
      </c>
      <c r="K3" s="118"/>
    </row>
    <row r="4" spans="2:11" ht="15">
      <c r="B4" s="13"/>
      <c r="C4" s="5"/>
      <c r="D4" s="1"/>
      <c r="E4" s="6"/>
      <c r="F4" s="14"/>
      <c r="H4" t="s">
        <v>24</v>
      </c>
      <c r="I4" s="20">
        <v>40</v>
      </c>
      <c r="J4" s="20">
        <f>IF(I3&gt;0,C4-I3,C4)</f>
        <v>0</v>
      </c>
      <c r="K4" s="117"/>
    </row>
    <row r="5" spans="2:11" ht="15">
      <c r="B5" s="13" t="s">
        <v>2</v>
      </c>
      <c r="C5" s="5">
        <v>79.04</v>
      </c>
      <c r="D5" s="1">
        <v>708</v>
      </c>
      <c r="E5" s="6">
        <v>507</v>
      </c>
      <c r="F5" s="14">
        <f t="shared" si="0"/>
        <v>0.00895748987854251</v>
      </c>
      <c r="I5" s="20"/>
      <c r="J5" s="20">
        <f>IF(I4&gt;0,C5-I4,C5)</f>
        <v>39.040000000000006</v>
      </c>
      <c r="K5" s="116">
        <f>SUM(I5:J8)</f>
        <v>213.26</v>
      </c>
    </row>
    <row r="6" spans="2:11" ht="15">
      <c r="B6" s="13" t="s">
        <v>3</v>
      </c>
      <c r="C6" s="5">
        <v>67.17</v>
      </c>
      <c r="D6" s="1">
        <v>471</v>
      </c>
      <c r="E6" s="6">
        <v>594</v>
      </c>
      <c r="F6" s="14">
        <f t="shared" si="0"/>
        <v>0.007012058954890576</v>
      </c>
      <c r="I6" s="20"/>
      <c r="J6" s="20">
        <f aca="true" t="shared" si="1" ref="J6:J34">IF(I5&gt;0,C6-I5,C6)</f>
        <v>67.17</v>
      </c>
      <c r="K6" s="118"/>
    </row>
    <row r="7" spans="2:11" ht="15">
      <c r="B7" s="13" t="s">
        <v>4</v>
      </c>
      <c r="C7" s="5">
        <v>56.05</v>
      </c>
      <c r="D7" s="1">
        <v>659</v>
      </c>
      <c r="E7" s="6">
        <v>533</v>
      </c>
      <c r="F7" s="14">
        <f t="shared" si="0"/>
        <v>0.01175735950044603</v>
      </c>
      <c r="I7" s="20"/>
      <c r="J7" s="20">
        <f t="shared" si="1"/>
        <v>56.05</v>
      </c>
      <c r="K7" s="118"/>
    </row>
    <row r="8" spans="2:11" ht="15">
      <c r="B8" s="13"/>
      <c r="C8" s="5"/>
      <c r="D8" s="1"/>
      <c r="E8" s="6"/>
      <c r="F8" s="14"/>
      <c r="H8" t="s">
        <v>25</v>
      </c>
      <c r="I8" s="20">
        <v>51</v>
      </c>
      <c r="J8" s="20">
        <f t="shared" si="1"/>
        <v>0</v>
      </c>
      <c r="K8" s="117"/>
    </row>
    <row r="9" spans="2:11" ht="15">
      <c r="B9" s="13" t="s">
        <v>5</v>
      </c>
      <c r="C9" s="5">
        <v>110.56</v>
      </c>
      <c r="D9" s="1">
        <v>2056</v>
      </c>
      <c r="E9" s="6">
        <v>1634</v>
      </c>
      <c r="F9" s="14">
        <f t="shared" si="0"/>
        <v>0.018596237337192473</v>
      </c>
      <c r="I9" s="20"/>
      <c r="J9" s="20">
        <f t="shared" si="1"/>
        <v>59.56</v>
      </c>
      <c r="K9" s="116">
        <f>SUM(I9:J10)</f>
        <v>161.93</v>
      </c>
    </row>
    <row r="10" spans="2:11" ht="15">
      <c r="B10" s="13" t="s">
        <v>6</v>
      </c>
      <c r="C10" s="5">
        <v>102.37</v>
      </c>
      <c r="D10" s="1">
        <v>1017</v>
      </c>
      <c r="E10" s="6">
        <v>1401</v>
      </c>
      <c r="F10" s="14">
        <f t="shared" si="0"/>
        <v>0.00993455113802872</v>
      </c>
      <c r="H10" t="s">
        <v>26</v>
      </c>
      <c r="I10" s="20"/>
      <c r="J10" s="20">
        <f>IF(I9&gt;0,C10-I9,C10)</f>
        <v>102.37</v>
      </c>
      <c r="K10" s="117"/>
    </row>
    <row r="11" spans="2:11" ht="15">
      <c r="B11" s="13" t="s">
        <v>7</v>
      </c>
      <c r="C11" s="5">
        <v>65.92</v>
      </c>
      <c r="D11" s="1">
        <v>1019</v>
      </c>
      <c r="E11" s="6">
        <v>843</v>
      </c>
      <c r="F11" s="14">
        <f t="shared" si="0"/>
        <v>0.015458131067961164</v>
      </c>
      <c r="I11" s="20"/>
      <c r="J11" s="20">
        <f t="shared" si="1"/>
        <v>65.92</v>
      </c>
      <c r="K11" s="116">
        <f>SUM(I11:J13)</f>
        <v>143.91</v>
      </c>
    </row>
    <row r="12" spans="2:11" ht="15">
      <c r="B12" s="13" t="s">
        <v>8</v>
      </c>
      <c r="C12" s="5">
        <v>59.99</v>
      </c>
      <c r="D12" s="1">
        <v>1033</v>
      </c>
      <c r="E12" s="6">
        <v>1141</v>
      </c>
      <c r="F12" s="14">
        <f t="shared" si="0"/>
        <v>0.017219536589431574</v>
      </c>
      <c r="I12" s="20"/>
      <c r="J12" s="20">
        <f t="shared" si="1"/>
        <v>59.99</v>
      </c>
      <c r="K12" s="118"/>
    </row>
    <row r="13" spans="2:11" ht="15">
      <c r="B13" s="13"/>
      <c r="C13" s="5"/>
      <c r="D13" s="1"/>
      <c r="E13" s="6"/>
      <c r="F13" s="14"/>
      <c r="H13" t="s">
        <v>47</v>
      </c>
      <c r="I13" s="20">
        <v>18</v>
      </c>
      <c r="J13" s="20">
        <f t="shared" si="1"/>
        <v>0</v>
      </c>
      <c r="K13" s="117"/>
    </row>
    <row r="14" spans="2:11" ht="15">
      <c r="B14" s="13" t="s">
        <v>9</v>
      </c>
      <c r="C14" s="5">
        <v>74.91</v>
      </c>
      <c r="D14" s="1">
        <v>1134</v>
      </c>
      <c r="E14" s="6">
        <v>1112</v>
      </c>
      <c r="F14" s="14">
        <f t="shared" si="0"/>
        <v>0.01513816579895875</v>
      </c>
      <c r="I14" s="20"/>
      <c r="J14" s="20">
        <f t="shared" si="1"/>
        <v>56.91</v>
      </c>
      <c r="K14" s="116">
        <f>SUM(I14:J16)</f>
        <v>138.72</v>
      </c>
    </row>
    <row r="15" spans="2:11" ht="15">
      <c r="B15" s="13" t="s">
        <v>10</v>
      </c>
      <c r="C15" s="5">
        <v>56.81</v>
      </c>
      <c r="D15" s="1">
        <v>1370</v>
      </c>
      <c r="E15" s="6">
        <v>508</v>
      </c>
      <c r="F15" s="14">
        <f t="shared" si="0"/>
        <v>0.02411547262805844</v>
      </c>
      <c r="I15" s="20"/>
      <c r="J15" s="20">
        <f t="shared" si="1"/>
        <v>56.81</v>
      </c>
      <c r="K15" s="118"/>
    </row>
    <row r="16" spans="2:11" ht="15">
      <c r="B16" s="13"/>
      <c r="C16" s="5"/>
      <c r="D16" s="1"/>
      <c r="E16" s="6"/>
      <c r="F16" s="14"/>
      <c r="H16" t="s">
        <v>27</v>
      </c>
      <c r="I16" s="20">
        <v>25</v>
      </c>
      <c r="J16" s="20">
        <f t="shared" si="1"/>
        <v>0</v>
      </c>
      <c r="K16" s="117"/>
    </row>
    <row r="17" spans="2:11" ht="15">
      <c r="B17" s="13" t="s">
        <v>11</v>
      </c>
      <c r="C17" s="5">
        <v>58.91</v>
      </c>
      <c r="D17" s="1">
        <v>1169</v>
      </c>
      <c r="E17" s="6">
        <v>1273</v>
      </c>
      <c r="F17" s="14">
        <f t="shared" si="0"/>
        <v>0.01984382957053132</v>
      </c>
      <c r="I17" s="20"/>
      <c r="J17" s="20">
        <f t="shared" si="1"/>
        <v>33.91</v>
      </c>
      <c r="K17" s="116">
        <f>SUM(I17:J19)</f>
        <v>104.49</v>
      </c>
    </row>
    <row r="18" spans="2:11" ht="15">
      <c r="B18" s="13" t="s">
        <v>12</v>
      </c>
      <c r="C18" s="5">
        <v>58.58</v>
      </c>
      <c r="D18" s="1">
        <v>1228</v>
      </c>
      <c r="E18" s="6">
        <v>1035</v>
      </c>
      <c r="F18" s="14">
        <f t="shared" si="0"/>
        <v>0.02096278593376579</v>
      </c>
      <c r="I18" s="20"/>
      <c r="J18" s="20">
        <f t="shared" si="1"/>
        <v>58.58</v>
      </c>
      <c r="K18" s="118"/>
    </row>
    <row r="19" spans="2:11" ht="15">
      <c r="B19" s="13"/>
      <c r="C19" s="5"/>
      <c r="D19" s="1"/>
      <c r="E19" s="6"/>
      <c r="F19" s="14"/>
      <c r="H19" t="s">
        <v>28</v>
      </c>
      <c r="I19" s="20">
        <v>12</v>
      </c>
      <c r="J19" s="20">
        <f t="shared" si="1"/>
        <v>0</v>
      </c>
      <c r="K19" s="117"/>
    </row>
    <row r="20" spans="2:11" ht="15">
      <c r="B20" s="13" t="s">
        <v>13</v>
      </c>
      <c r="C20" s="5">
        <v>75.94</v>
      </c>
      <c r="D20" s="1">
        <v>1025</v>
      </c>
      <c r="E20" s="6">
        <v>1927</v>
      </c>
      <c r="F20" s="14">
        <f t="shared" si="0"/>
        <v>0.013497498024756386</v>
      </c>
      <c r="I20" s="20"/>
      <c r="J20" s="20">
        <f t="shared" si="1"/>
        <v>63.94</v>
      </c>
      <c r="K20" s="116">
        <f>SUM(I20:J22)</f>
        <v>119.35</v>
      </c>
    </row>
    <row r="21" spans="2:11" ht="15">
      <c r="B21" s="13" t="s">
        <v>14</v>
      </c>
      <c r="C21" s="5">
        <v>49.41</v>
      </c>
      <c r="D21" s="1">
        <v>1025</v>
      </c>
      <c r="E21" s="6">
        <v>566</v>
      </c>
      <c r="F21" s="14">
        <f t="shared" si="0"/>
        <v>0.020744788504351346</v>
      </c>
      <c r="I21" s="20"/>
      <c r="J21" s="20">
        <f t="shared" si="1"/>
        <v>49.41</v>
      </c>
      <c r="K21" s="118"/>
    </row>
    <row r="22" spans="2:11" ht="15">
      <c r="B22" s="13"/>
      <c r="C22" s="5"/>
      <c r="D22" s="1"/>
      <c r="E22" s="6"/>
      <c r="F22" s="14"/>
      <c r="H22" t="s">
        <v>29</v>
      </c>
      <c r="I22" s="20">
        <v>6</v>
      </c>
      <c r="J22" s="20">
        <f t="shared" si="1"/>
        <v>0</v>
      </c>
      <c r="K22" s="117"/>
    </row>
    <row r="23" spans="2:11" ht="15">
      <c r="B23" s="13" t="s">
        <v>15</v>
      </c>
      <c r="C23" s="5">
        <v>71.85</v>
      </c>
      <c r="D23" s="1">
        <v>1448</v>
      </c>
      <c r="E23" s="6">
        <v>1652</v>
      </c>
      <c r="F23" s="14">
        <f t="shared" si="0"/>
        <v>0.020153096729297146</v>
      </c>
      <c r="I23" s="20"/>
      <c r="J23" s="20">
        <f t="shared" si="1"/>
        <v>65.85</v>
      </c>
      <c r="K23" s="116">
        <f>SUM(I23:J24)</f>
        <v>129.85</v>
      </c>
    </row>
    <row r="24" spans="2:11" ht="15">
      <c r="B24" s="13"/>
      <c r="C24" s="5"/>
      <c r="D24" s="1"/>
      <c r="E24" s="6"/>
      <c r="F24" s="14"/>
      <c r="H24" t="s">
        <v>30</v>
      </c>
      <c r="I24" s="20">
        <v>64</v>
      </c>
      <c r="J24" s="20">
        <f t="shared" si="1"/>
        <v>0</v>
      </c>
      <c r="K24" s="117"/>
    </row>
    <row r="25" spans="2:11" ht="15">
      <c r="B25" s="13" t="s">
        <v>16</v>
      </c>
      <c r="C25" s="5">
        <v>87.49</v>
      </c>
      <c r="D25" s="1">
        <v>1767</v>
      </c>
      <c r="E25" s="6">
        <v>2210</v>
      </c>
      <c r="F25" s="14">
        <f t="shared" si="0"/>
        <v>0.02019659389644531</v>
      </c>
      <c r="I25" s="20"/>
      <c r="J25" s="20">
        <f t="shared" si="1"/>
        <v>23.489999999999995</v>
      </c>
      <c r="K25" s="116">
        <f>SUM(I25:J27)</f>
        <v>144.55</v>
      </c>
    </row>
    <row r="26" spans="2:11" ht="15">
      <c r="B26" s="13" t="s">
        <v>17</v>
      </c>
      <c r="C26" s="5">
        <v>34.78</v>
      </c>
      <c r="D26" s="1">
        <v>723</v>
      </c>
      <c r="E26" s="6">
        <v>273</v>
      </c>
      <c r="F26" s="14">
        <f t="shared" si="0"/>
        <v>0.020787809085681425</v>
      </c>
      <c r="I26" s="20"/>
      <c r="J26" s="20">
        <f t="shared" si="1"/>
        <v>34.78</v>
      </c>
      <c r="K26" s="118"/>
    </row>
    <row r="27" spans="2:11" ht="15">
      <c r="B27" s="13" t="s">
        <v>18</v>
      </c>
      <c r="C27" s="5">
        <v>86.28</v>
      </c>
      <c r="D27" s="1">
        <v>1489</v>
      </c>
      <c r="E27" s="6">
        <v>1447</v>
      </c>
      <c r="F27" s="14">
        <f t="shared" si="0"/>
        <v>0.017257765414928142</v>
      </c>
      <c r="H27" t="s">
        <v>31</v>
      </c>
      <c r="I27" s="20"/>
      <c r="J27" s="20">
        <f t="shared" si="1"/>
        <v>86.28</v>
      </c>
      <c r="K27" s="117"/>
    </row>
    <row r="28" spans="2:11" ht="15">
      <c r="B28" s="13" t="s">
        <v>19</v>
      </c>
      <c r="C28" s="5">
        <v>70.91</v>
      </c>
      <c r="D28" s="1">
        <v>1813</v>
      </c>
      <c r="E28" s="6">
        <v>1402</v>
      </c>
      <c r="F28" s="14">
        <f t="shared" si="0"/>
        <v>0.02556762092793682</v>
      </c>
      <c r="I28" s="20"/>
      <c r="J28" s="20">
        <f t="shared" si="1"/>
        <v>70.91</v>
      </c>
      <c r="K28" s="116">
        <f>SUM(I28:J29)</f>
        <v>134.91</v>
      </c>
    </row>
    <row r="29" spans="2:11" ht="15">
      <c r="B29" s="13"/>
      <c r="C29" s="5"/>
      <c r="D29" s="1"/>
      <c r="E29" s="6"/>
      <c r="F29" s="14"/>
      <c r="H29" t="s">
        <v>32</v>
      </c>
      <c r="I29" s="20">
        <v>64</v>
      </c>
      <c r="J29" s="20">
        <f t="shared" si="1"/>
        <v>0</v>
      </c>
      <c r="K29" s="117"/>
    </row>
    <row r="30" spans="2:11" ht="15">
      <c r="B30" s="13" t="s">
        <v>20</v>
      </c>
      <c r="C30" s="5">
        <v>83.76</v>
      </c>
      <c r="D30" s="1">
        <v>786</v>
      </c>
      <c r="E30" s="6">
        <v>1612</v>
      </c>
      <c r="F30" s="14">
        <f t="shared" si="0"/>
        <v>0.009383954154727793</v>
      </c>
      <c r="I30" s="20"/>
      <c r="J30" s="20">
        <f t="shared" si="1"/>
        <v>19.760000000000005</v>
      </c>
      <c r="K30" s="116">
        <f>SUM(I30:J32)</f>
        <v>117.9</v>
      </c>
    </row>
    <row r="31" spans="2:11" ht="15">
      <c r="B31" s="13" t="s">
        <v>21</v>
      </c>
      <c r="C31" s="5">
        <v>68.14</v>
      </c>
      <c r="D31" s="1">
        <v>1209</v>
      </c>
      <c r="E31" s="6">
        <v>977</v>
      </c>
      <c r="F31" s="14">
        <f t="shared" si="0"/>
        <v>0.0177428823011447</v>
      </c>
      <c r="I31" s="20"/>
      <c r="J31" s="20">
        <f t="shared" si="1"/>
        <v>68.14</v>
      </c>
      <c r="K31" s="118"/>
    </row>
    <row r="32" spans="2:11" ht="15">
      <c r="B32" s="13"/>
      <c r="C32" s="5"/>
      <c r="D32" s="1"/>
      <c r="E32" s="6"/>
      <c r="F32" s="14"/>
      <c r="H32" t="s">
        <v>33</v>
      </c>
      <c r="I32" s="20">
        <v>30</v>
      </c>
      <c r="J32" s="20">
        <f t="shared" si="1"/>
        <v>0</v>
      </c>
      <c r="K32" s="117"/>
    </row>
    <row r="33" spans="2:11" ht="15">
      <c r="B33" s="13" t="s">
        <v>22</v>
      </c>
      <c r="C33" s="5">
        <v>59.77</v>
      </c>
      <c r="D33" s="1">
        <v>1579</v>
      </c>
      <c r="E33" s="6">
        <v>1181</v>
      </c>
      <c r="F33" s="14">
        <f t="shared" si="0"/>
        <v>0.026417935419106576</v>
      </c>
      <c r="I33" s="20"/>
      <c r="J33" s="20">
        <f t="shared" si="1"/>
        <v>29.770000000000003</v>
      </c>
      <c r="K33" s="116">
        <f>SUM(I33:J34)</f>
        <v>108.33000000000001</v>
      </c>
    </row>
    <row r="34" spans="2:11" ht="15.75" thickBot="1">
      <c r="B34" s="13" t="s">
        <v>23</v>
      </c>
      <c r="C34" s="7">
        <v>78.56</v>
      </c>
      <c r="D34" s="8">
        <v>2128</v>
      </c>
      <c r="E34" s="9">
        <v>2484</v>
      </c>
      <c r="F34" s="15">
        <f t="shared" si="0"/>
        <v>0.027087576374745417</v>
      </c>
      <c r="I34" s="20"/>
      <c r="J34" s="20">
        <f t="shared" si="1"/>
        <v>78.56</v>
      </c>
      <c r="K34" s="117"/>
    </row>
    <row r="35" spans="2:6" ht="15.75" thickBot="1">
      <c r="B35" s="16"/>
      <c r="C35" s="17">
        <f>SUM(C2:C34)</f>
        <v>1707.0800000000002</v>
      </c>
      <c r="D35" s="18">
        <f>SUM(D2:D34)</f>
        <v>28674</v>
      </c>
      <c r="E35" s="19">
        <f>SUM(E2:E34)</f>
        <v>28185</v>
      </c>
      <c r="F35" s="10">
        <f>(D35/(C35*1000))</f>
        <v>0.016797103826417036</v>
      </c>
    </row>
  </sheetData>
  <sheetProtection/>
  <mergeCells count="12">
    <mergeCell ref="K20:K22"/>
    <mergeCell ref="K23:K24"/>
    <mergeCell ref="K25:K27"/>
    <mergeCell ref="K28:K29"/>
    <mergeCell ref="K30:K32"/>
    <mergeCell ref="K33:K34"/>
    <mergeCell ref="K9:K10"/>
    <mergeCell ref="K5:K8"/>
    <mergeCell ref="K2:K4"/>
    <mergeCell ref="K11:K13"/>
    <mergeCell ref="K14:K16"/>
    <mergeCell ref="K17:K19"/>
  </mergeCells>
  <conditionalFormatting sqref="F2:F35">
    <cfRule type="top10" priority="1" dxfId="15" stopIfTrue="1" rank="35" bottom="1" percent="1"/>
    <cfRule type="top10" priority="2" dxfId="16" stopIfTrue="1" rank="35" percent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E7" sqref="E7"/>
    </sheetView>
  </sheetViews>
  <sheetFormatPr defaultColWidth="11.421875" defaultRowHeight="15"/>
  <cols>
    <col min="2" max="4" width="11.421875" style="21" customWidth="1"/>
    <col min="5" max="5" width="33.8515625" style="21" customWidth="1"/>
    <col min="6" max="6" width="47.7109375" style="0" customWidth="1"/>
    <col min="7" max="7" width="14.421875" style="0" bestFit="1" customWidth="1"/>
    <col min="8" max="8" width="48.7109375" style="21" hidden="1" customWidth="1"/>
  </cols>
  <sheetData>
    <row r="2" spans="2:8" ht="15">
      <c r="B2" s="22"/>
      <c r="C2" s="29" t="s">
        <v>34</v>
      </c>
      <c r="D2" s="29" t="s">
        <v>35</v>
      </c>
      <c r="E2" s="29" t="s">
        <v>36</v>
      </c>
      <c r="F2" s="30" t="s">
        <v>37</v>
      </c>
      <c r="G2" s="30" t="s">
        <v>71</v>
      </c>
      <c r="H2" s="29" t="s">
        <v>38</v>
      </c>
    </row>
    <row r="3" spans="2:8" ht="90">
      <c r="B3" s="22" t="s">
        <v>0</v>
      </c>
      <c r="C3" s="27">
        <v>189.225</v>
      </c>
      <c r="D3" s="26">
        <v>1443</v>
      </c>
      <c r="E3" s="23" t="s">
        <v>39</v>
      </c>
      <c r="F3" s="24" t="s">
        <v>72</v>
      </c>
      <c r="G3" s="31" t="str">
        <f aca="true" t="shared" si="0" ref="G3:G9">MID(H3,LEN(H3)-6,7)</f>
        <v>7792173</v>
      </c>
      <c r="H3" s="25" t="s">
        <v>40</v>
      </c>
    </row>
    <row r="4" spans="2:8" ht="120">
      <c r="B4" s="22" t="s">
        <v>1</v>
      </c>
      <c r="C4" s="27">
        <v>214.785</v>
      </c>
      <c r="D4" s="26">
        <v>2019</v>
      </c>
      <c r="E4" s="23" t="s">
        <v>42</v>
      </c>
      <c r="F4" s="24" t="s">
        <v>41</v>
      </c>
      <c r="G4" s="31" t="str">
        <f t="shared" si="0"/>
        <v>7296880</v>
      </c>
      <c r="H4" s="25" t="s">
        <v>43</v>
      </c>
    </row>
    <row r="5" spans="2:8" ht="75">
      <c r="B5" s="22" t="s">
        <v>2</v>
      </c>
      <c r="C5" s="27">
        <v>173.668</v>
      </c>
      <c r="D5" s="26">
        <v>2115</v>
      </c>
      <c r="E5" s="23" t="s">
        <v>44</v>
      </c>
      <c r="F5" s="24" t="s">
        <v>46</v>
      </c>
      <c r="G5" s="31" t="str">
        <f t="shared" si="0"/>
        <v>7792330</v>
      </c>
      <c r="H5" s="25" t="s">
        <v>45</v>
      </c>
    </row>
    <row r="6" spans="2:8" ht="105">
      <c r="B6" s="22" t="s">
        <v>3</v>
      </c>
      <c r="C6" s="27">
        <v>147.33</v>
      </c>
      <c r="D6" s="26">
        <v>2792</v>
      </c>
      <c r="E6" s="23" t="s">
        <v>70</v>
      </c>
      <c r="F6" s="24" t="s">
        <v>48</v>
      </c>
      <c r="G6" s="31" t="str">
        <f t="shared" si="0"/>
        <v>7792366</v>
      </c>
      <c r="H6" s="25" t="s">
        <v>49</v>
      </c>
    </row>
    <row r="7" spans="2:8" ht="90">
      <c r="B7" s="22" t="s">
        <v>4</v>
      </c>
      <c r="C7" s="27">
        <v>123.961</v>
      </c>
      <c r="D7" s="26">
        <v>1841</v>
      </c>
      <c r="E7" s="23" t="s">
        <v>51</v>
      </c>
      <c r="F7" s="24" t="s">
        <v>73</v>
      </c>
      <c r="G7" s="31" t="str">
        <f t="shared" si="0"/>
        <v>7792465</v>
      </c>
      <c r="H7" s="25" t="s">
        <v>50</v>
      </c>
    </row>
    <row r="8" spans="2:8" ht="90">
      <c r="B8" s="22" t="s">
        <v>5</v>
      </c>
      <c r="C8" s="27">
        <v>105.09</v>
      </c>
      <c r="D8" s="26">
        <v>2293</v>
      </c>
      <c r="E8" s="23" t="s">
        <v>69</v>
      </c>
      <c r="F8" s="24" t="s">
        <v>74</v>
      </c>
      <c r="G8" s="31" t="str">
        <f t="shared" si="0"/>
        <v>7792555</v>
      </c>
      <c r="H8" s="25" t="s">
        <v>52</v>
      </c>
    </row>
    <row r="9" spans="2:8" ht="90">
      <c r="B9" s="22" t="s">
        <v>6</v>
      </c>
      <c r="C9" s="27">
        <v>116.692</v>
      </c>
      <c r="D9" s="26">
        <v>2161</v>
      </c>
      <c r="E9" s="23" t="s">
        <v>53</v>
      </c>
      <c r="F9" s="24" t="s">
        <v>75</v>
      </c>
      <c r="G9" s="31" t="str">
        <f t="shared" si="0"/>
        <v>7792597</v>
      </c>
      <c r="H9" s="25" t="s">
        <v>54</v>
      </c>
    </row>
    <row r="10" spans="2:8" ht="15">
      <c r="B10" s="119" t="s">
        <v>68</v>
      </c>
      <c r="C10" s="120"/>
      <c r="D10" s="120"/>
      <c r="E10" s="120"/>
      <c r="F10" s="120"/>
      <c r="G10" s="120"/>
      <c r="H10" s="121"/>
    </row>
    <row r="11" spans="2:8" ht="90">
      <c r="B11" s="22" t="s">
        <v>7</v>
      </c>
      <c r="C11" s="27">
        <v>130.227</v>
      </c>
      <c r="D11" s="26">
        <v>2552</v>
      </c>
      <c r="E11" s="23" t="s">
        <v>55</v>
      </c>
      <c r="F11" s="24" t="s">
        <v>57</v>
      </c>
      <c r="G11" s="31" t="str">
        <f>MID(H11,LEN(H11)-6,7)</f>
        <v>7792681</v>
      </c>
      <c r="H11" s="25" t="s">
        <v>56</v>
      </c>
    </row>
    <row r="12" spans="2:8" ht="90">
      <c r="B12" s="22" t="s">
        <v>8</v>
      </c>
      <c r="C12" s="27">
        <v>140.664</v>
      </c>
      <c r="D12" s="26">
        <v>2717</v>
      </c>
      <c r="E12" s="23" t="s">
        <v>59</v>
      </c>
      <c r="F12" s="24" t="s">
        <v>60</v>
      </c>
      <c r="G12" s="31" t="str">
        <f>MID(H12,LEN(H12)-6,7)</f>
        <v>7792719</v>
      </c>
      <c r="H12" s="25" t="s">
        <v>61</v>
      </c>
    </row>
    <row r="13" spans="2:8" ht="75">
      <c r="B13" s="22" t="s">
        <v>9</v>
      </c>
      <c r="C13" s="27">
        <v>135.402</v>
      </c>
      <c r="D13" s="26">
        <v>2131</v>
      </c>
      <c r="E13" s="23" t="s">
        <v>62</v>
      </c>
      <c r="F13" s="24" t="s">
        <v>76</v>
      </c>
      <c r="G13" s="31" t="str">
        <f>MID(H13,LEN(H13)-6,7)</f>
        <v>7792817</v>
      </c>
      <c r="H13" s="25" t="s">
        <v>63</v>
      </c>
    </row>
    <row r="14" spans="2:8" ht="75">
      <c r="B14" s="22" t="s">
        <v>10</v>
      </c>
      <c r="C14" s="27">
        <v>120.131</v>
      </c>
      <c r="D14" s="26">
        <v>2236</v>
      </c>
      <c r="E14" s="23" t="s">
        <v>64</v>
      </c>
      <c r="F14" s="24" t="s">
        <v>77</v>
      </c>
      <c r="G14" s="31" t="str">
        <f>MID(H14,LEN(H14)-6,7)</f>
        <v>7793111</v>
      </c>
      <c r="H14" s="25" t="s">
        <v>65</v>
      </c>
    </row>
    <row r="15" spans="2:8" ht="45">
      <c r="B15" s="22" t="s">
        <v>11</v>
      </c>
      <c r="C15" s="27">
        <v>110.295</v>
      </c>
      <c r="D15" s="26">
        <v>2766</v>
      </c>
      <c r="E15" s="22" t="s">
        <v>58</v>
      </c>
      <c r="F15" s="24" t="s">
        <v>66</v>
      </c>
      <c r="G15" s="31" t="str">
        <f>MID(H15,LEN(H15)-6,7)</f>
        <v>7793121</v>
      </c>
      <c r="H15" s="25" t="s">
        <v>67</v>
      </c>
    </row>
    <row r="16" spans="3:4" ht="15">
      <c r="C16" s="28">
        <f>SUM(C3:C15)</f>
        <v>1707.4700000000003</v>
      </c>
      <c r="D16" s="28">
        <f>SUM(D3:D15)</f>
        <v>27066</v>
      </c>
    </row>
  </sheetData>
  <sheetProtection/>
  <mergeCells count="1">
    <mergeCell ref="B10:H10"/>
  </mergeCells>
  <hyperlinks>
    <hyperlink ref="H4" r:id="rId1" display="http://www.openrunner.com/index.php?id=7296880"/>
    <hyperlink ref="H3" r:id="rId2" display="http://www.openrunner.com/index.php?id=7792173"/>
    <hyperlink ref="H6" r:id="rId3" display="http://www.openrunner.com/index.php?id=7792366"/>
    <hyperlink ref="H5" r:id="rId4" display="http://www.openrunner.com/index.php?id=7792330"/>
    <hyperlink ref="H7" r:id="rId5" display="http://www.openrunner.com/index.php?id=7792465"/>
    <hyperlink ref="H8" r:id="rId6" display="http://www.openrunner.com/index.php?id=7792555"/>
    <hyperlink ref="H9" r:id="rId7" display="http://www.openrunner.com/index.php?id=7792597"/>
    <hyperlink ref="H11" r:id="rId8" display="http://www.openrunner.com/index.php?id=7792681"/>
    <hyperlink ref="H12" r:id="rId9" display="http://www.openrunner.com/index.php?id=7792719"/>
    <hyperlink ref="H13" r:id="rId10" display="http://www.openrunner.com/index.php?id=7792817"/>
    <hyperlink ref="H14" r:id="rId11" display="http://www.openrunner.com/index.php?id=7793111"/>
    <hyperlink ref="H15" r:id="rId12" display="http://www.openrunner.com/index.php?id=7793121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1">
      <selection activeCell="H24" sqref="H24"/>
    </sheetView>
  </sheetViews>
  <sheetFormatPr defaultColWidth="11.421875" defaultRowHeight="15"/>
  <cols>
    <col min="2" max="2" width="8.421875" style="0" bestFit="1" customWidth="1"/>
    <col min="8" max="8" width="36.421875" style="0" customWidth="1"/>
    <col min="9" max="9" width="8.7109375" style="0" bestFit="1" customWidth="1"/>
    <col min="10" max="11" width="9.7109375" style="0" bestFit="1" customWidth="1"/>
  </cols>
  <sheetData>
    <row r="1" ht="15.75" thickBot="1"/>
    <row r="2" spans="2:11" ht="15">
      <c r="B2" s="11" t="s">
        <v>0</v>
      </c>
      <c r="C2" s="2">
        <v>68.33</v>
      </c>
      <c r="D2" s="3">
        <v>950</v>
      </c>
      <c r="E2" s="4">
        <v>779</v>
      </c>
      <c r="F2" s="12">
        <f aca="true" t="shared" si="0" ref="F2:F33">(D2/(C2*1000))</f>
        <v>0.013903117225230499</v>
      </c>
      <c r="I2" s="20"/>
      <c r="J2" s="20">
        <f>IF(I1&gt;0,C2-I1,C2)</f>
        <v>68.33</v>
      </c>
      <c r="K2" s="122">
        <f>SUM(I2:J4)</f>
        <v>228.92000000000002</v>
      </c>
    </row>
    <row r="3" spans="2:11" ht="15">
      <c r="B3" s="13" t="s">
        <v>1</v>
      </c>
      <c r="C3" s="5">
        <v>81.55</v>
      </c>
      <c r="D3" s="1">
        <v>868</v>
      </c>
      <c r="E3" s="6">
        <v>1094</v>
      </c>
      <c r="F3" s="14">
        <f t="shared" si="0"/>
        <v>0.010643776824034334</v>
      </c>
      <c r="I3" s="20"/>
      <c r="J3" s="20">
        <f>IF(I2&gt;0,C3-I2,C3)</f>
        <v>81.55</v>
      </c>
      <c r="K3" s="122"/>
    </row>
    <row r="4" spans="2:11" ht="30">
      <c r="B4" s="13" t="s">
        <v>2</v>
      </c>
      <c r="C4" s="5">
        <v>79.04</v>
      </c>
      <c r="D4" s="1">
        <v>708</v>
      </c>
      <c r="E4" s="6">
        <v>507</v>
      </c>
      <c r="F4" s="14">
        <f t="shared" si="0"/>
        <v>0.00895748987854251</v>
      </c>
      <c r="H4" s="33" t="s">
        <v>82</v>
      </c>
      <c r="I4" s="20"/>
      <c r="J4" s="20">
        <f aca="true" t="shared" si="1" ref="J4:J33">IF(I3&gt;0,C4-I3,C4)</f>
        <v>79.04</v>
      </c>
      <c r="K4" s="122"/>
    </row>
    <row r="5" spans="2:11" ht="15">
      <c r="B5" s="13" t="s">
        <v>3</v>
      </c>
      <c r="C5" s="5">
        <v>67.17</v>
      </c>
      <c r="D5" s="1">
        <v>471</v>
      </c>
      <c r="E5" s="6">
        <v>594</v>
      </c>
      <c r="F5" s="14">
        <f t="shared" si="0"/>
        <v>0.007012058954890576</v>
      </c>
      <c r="I5" s="20"/>
      <c r="J5" s="20">
        <f t="shared" si="1"/>
        <v>67.17</v>
      </c>
      <c r="K5" s="122">
        <f>SUM(I5:J7)</f>
        <v>204.22</v>
      </c>
    </row>
    <row r="6" spans="2:11" ht="15">
      <c r="B6" s="13" t="s">
        <v>4</v>
      </c>
      <c r="C6" s="5">
        <v>56.05</v>
      </c>
      <c r="D6" s="1">
        <v>659</v>
      </c>
      <c r="E6" s="6">
        <v>533</v>
      </c>
      <c r="F6" s="14">
        <f t="shared" si="0"/>
        <v>0.01175735950044603</v>
      </c>
      <c r="I6" s="20"/>
      <c r="J6" s="20">
        <f t="shared" si="1"/>
        <v>56.05</v>
      </c>
      <c r="K6" s="122"/>
    </row>
    <row r="7" spans="2:11" ht="30">
      <c r="B7" s="13"/>
      <c r="C7" s="5"/>
      <c r="D7" s="1"/>
      <c r="E7" s="6"/>
      <c r="F7" s="14"/>
      <c r="H7" s="33" t="s">
        <v>83</v>
      </c>
      <c r="I7" s="20">
        <v>81</v>
      </c>
      <c r="J7" s="20">
        <f t="shared" si="1"/>
        <v>0</v>
      </c>
      <c r="K7" s="122"/>
    </row>
    <row r="8" spans="2:11" ht="15">
      <c r="B8" s="13" t="s">
        <v>5</v>
      </c>
      <c r="C8" s="5">
        <v>110.56</v>
      </c>
      <c r="D8" s="1">
        <v>2056</v>
      </c>
      <c r="E8" s="6">
        <v>1634</v>
      </c>
      <c r="F8" s="14">
        <f t="shared" si="0"/>
        <v>0.018596237337192473</v>
      </c>
      <c r="I8" s="20"/>
      <c r="J8" s="20">
        <f t="shared" si="1"/>
        <v>29.560000000000002</v>
      </c>
      <c r="K8" s="122">
        <f>SUM(I8:J10)</f>
        <v>190.93</v>
      </c>
    </row>
    <row r="9" spans="2:11" ht="15">
      <c r="B9" s="13" t="s">
        <v>6</v>
      </c>
      <c r="C9" s="5">
        <v>102.37</v>
      </c>
      <c r="D9" s="1">
        <v>1017</v>
      </c>
      <c r="E9" s="6">
        <v>1401</v>
      </c>
      <c r="F9" s="14">
        <f t="shared" si="0"/>
        <v>0.00993455113802872</v>
      </c>
      <c r="I9" s="20"/>
      <c r="J9" s="20">
        <f t="shared" si="1"/>
        <v>102.37</v>
      </c>
      <c r="K9" s="122"/>
    </row>
    <row r="10" spans="2:11" ht="15">
      <c r="B10" s="13"/>
      <c r="C10" s="5"/>
      <c r="D10" s="1"/>
      <c r="E10" s="6"/>
      <c r="F10" s="14"/>
      <c r="H10" t="s">
        <v>84</v>
      </c>
      <c r="I10" s="20">
        <v>59</v>
      </c>
      <c r="J10" s="20">
        <f t="shared" si="1"/>
        <v>0</v>
      </c>
      <c r="K10" s="122"/>
    </row>
    <row r="11" spans="2:11" ht="15">
      <c r="B11" s="13" t="s">
        <v>7</v>
      </c>
      <c r="C11" s="5">
        <v>65.92</v>
      </c>
      <c r="D11" s="1">
        <v>1019</v>
      </c>
      <c r="E11" s="6">
        <v>843</v>
      </c>
      <c r="F11" s="14">
        <f t="shared" si="0"/>
        <v>0.015458131067961164</v>
      </c>
      <c r="I11" s="20"/>
      <c r="J11" s="20">
        <f t="shared" si="1"/>
        <v>6.920000000000002</v>
      </c>
      <c r="K11" s="122">
        <f>SUM(I11:J14)</f>
        <v>167.82</v>
      </c>
    </row>
    <row r="12" spans="2:11" ht="15">
      <c r="B12" s="13" t="s">
        <v>8</v>
      </c>
      <c r="C12" s="5">
        <v>59.99</v>
      </c>
      <c r="D12" s="1">
        <v>1033</v>
      </c>
      <c r="E12" s="6">
        <v>1141</v>
      </c>
      <c r="F12" s="14">
        <f t="shared" si="0"/>
        <v>0.017219536589431574</v>
      </c>
      <c r="I12" s="20"/>
      <c r="J12" s="20">
        <f t="shared" si="1"/>
        <v>59.99</v>
      </c>
      <c r="K12" s="122"/>
    </row>
    <row r="13" spans="2:11" ht="15">
      <c r="B13" s="13" t="s">
        <v>9</v>
      </c>
      <c r="C13" s="5">
        <v>74.91</v>
      </c>
      <c r="D13" s="1">
        <v>1134</v>
      </c>
      <c r="E13" s="6">
        <v>1112</v>
      </c>
      <c r="F13" s="14">
        <f t="shared" si="0"/>
        <v>0.01513816579895875</v>
      </c>
      <c r="I13" s="20"/>
      <c r="J13" s="20">
        <f t="shared" si="1"/>
        <v>74.91</v>
      </c>
      <c r="K13" s="122"/>
    </row>
    <row r="14" spans="2:11" ht="30">
      <c r="B14" s="13"/>
      <c r="C14" s="5"/>
      <c r="D14" s="1"/>
      <c r="E14" s="6"/>
      <c r="F14" s="14"/>
      <c r="H14" s="33" t="s">
        <v>85</v>
      </c>
      <c r="I14" s="20">
        <v>26</v>
      </c>
      <c r="J14" s="20">
        <f t="shared" si="1"/>
        <v>0</v>
      </c>
      <c r="K14" s="122"/>
    </row>
    <row r="15" spans="2:11" ht="15">
      <c r="B15" s="13" t="s">
        <v>10</v>
      </c>
      <c r="C15" s="5">
        <v>56.81</v>
      </c>
      <c r="D15" s="1">
        <v>1370</v>
      </c>
      <c r="E15" s="6">
        <v>508</v>
      </c>
      <c r="F15" s="14">
        <f t="shared" si="0"/>
        <v>0.02411547262805844</v>
      </c>
      <c r="I15" s="20"/>
      <c r="J15" s="20">
        <f t="shared" si="1"/>
        <v>30.810000000000002</v>
      </c>
      <c r="K15" s="122">
        <f>SUM(I15:J18)</f>
        <v>154.3</v>
      </c>
    </row>
    <row r="16" spans="2:11" ht="15">
      <c r="B16" s="13" t="s">
        <v>11</v>
      </c>
      <c r="C16" s="5">
        <v>58.91</v>
      </c>
      <c r="D16" s="1">
        <v>1169</v>
      </c>
      <c r="E16" s="6">
        <v>1273</v>
      </c>
      <c r="F16" s="14">
        <f t="shared" si="0"/>
        <v>0.01984382957053132</v>
      </c>
      <c r="I16" s="20"/>
      <c r="J16" s="20">
        <f t="shared" si="1"/>
        <v>58.91</v>
      </c>
      <c r="K16" s="122"/>
    </row>
    <row r="17" spans="2:11" ht="15">
      <c r="B17" s="13" t="s">
        <v>12</v>
      </c>
      <c r="C17" s="5">
        <v>58.58</v>
      </c>
      <c r="D17" s="1">
        <v>1228</v>
      </c>
      <c r="E17" s="6">
        <v>1035</v>
      </c>
      <c r="F17" s="14">
        <f t="shared" si="0"/>
        <v>0.02096278593376579</v>
      </c>
      <c r="I17" s="20"/>
      <c r="J17" s="20">
        <f t="shared" si="1"/>
        <v>58.58</v>
      </c>
      <c r="K17" s="122"/>
    </row>
    <row r="18" spans="2:11" ht="30">
      <c r="B18" s="13"/>
      <c r="C18" s="5"/>
      <c r="D18" s="1"/>
      <c r="E18" s="6"/>
      <c r="F18" s="14"/>
      <c r="H18" s="33" t="s">
        <v>86</v>
      </c>
      <c r="I18" s="20">
        <v>6</v>
      </c>
      <c r="J18" s="20">
        <f t="shared" si="1"/>
        <v>0</v>
      </c>
      <c r="K18" s="122"/>
    </row>
    <row r="19" spans="2:11" ht="15">
      <c r="B19" s="13" t="s">
        <v>13</v>
      </c>
      <c r="C19" s="5">
        <v>75.94</v>
      </c>
      <c r="D19" s="1">
        <v>1025</v>
      </c>
      <c r="E19" s="6">
        <v>1927</v>
      </c>
      <c r="F19" s="14">
        <f t="shared" si="0"/>
        <v>0.013497498024756386</v>
      </c>
      <c r="I19" s="20"/>
      <c r="J19" s="20">
        <f t="shared" si="1"/>
        <v>69.94</v>
      </c>
      <c r="K19" s="122">
        <f>SUM(I19:J21)</f>
        <v>148.35</v>
      </c>
    </row>
    <row r="20" spans="2:11" ht="15">
      <c r="B20" s="13" t="s">
        <v>14</v>
      </c>
      <c r="C20" s="5">
        <v>49.41</v>
      </c>
      <c r="D20" s="1">
        <v>1025</v>
      </c>
      <c r="E20" s="6">
        <v>566</v>
      </c>
      <c r="F20" s="14">
        <f t="shared" si="0"/>
        <v>0.020744788504351346</v>
      </c>
      <c r="I20" s="20"/>
      <c r="J20" s="20">
        <f t="shared" si="1"/>
        <v>49.41</v>
      </c>
      <c r="K20" s="122"/>
    </row>
    <row r="21" spans="2:11" ht="45">
      <c r="B21" s="13"/>
      <c r="C21" s="5"/>
      <c r="D21" s="1"/>
      <c r="E21" s="6"/>
      <c r="F21" s="14"/>
      <c r="H21" s="33" t="s">
        <v>81</v>
      </c>
      <c r="I21" s="20">
        <v>29</v>
      </c>
      <c r="J21" s="20">
        <f t="shared" si="1"/>
        <v>0</v>
      </c>
      <c r="K21" s="122"/>
    </row>
    <row r="22" spans="2:11" ht="15">
      <c r="B22" s="13" t="s">
        <v>15</v>
      </c>
      <c r="C22" s="5">
        <v>71.85</v>
      </c>
      <c r="D22" s="1">
        <v>1448</v>
      </c>
      <c r="E22" s="6">
        <v>1652</v>
      </c>
      <c r="F22" s="14">
        <f t="shared" si="0"/>
        <v>0.020153096729297146</v>
      </c>
      <c r="I22" s="20"/>
      <c r="J22" s="20">
        <f t="shared" si="1"/>
        <v>42.849999999999994</v>
      </c>
      <c r="K22" s="122">
        <f>SUM(I22:J24)</f>
        <v>159.33999999999997</v>
      </c>
    </row>
    <row r="23" spans="2:11" ht="15">
      <c r="B23" s="13" t="s">
        <v>16</v>
      </c>
      <c r="C23" s="5">
        <v>87.49</v>
      </c>
      <c r="D23" s="1">
        <v>1767</v>
      </c>
      <c r="E23" s="6">
        <v>2210</v>
      </c>
      <c r="F23" s="14">
        <f t="shared" si="0"/>
        <v>0.02019659389644531</v>
      </c>
      <c r="I23" s="20"/>
      <c r="J23" s="20">
        <f t="shared" si="1"/>
        <v>87.49</v>
      </c>
      <c r="K23" s="122"/>
    </row>
    <row r="24" spans="2:11" ht="30">
      <c r="B24" s="13"/>
      <c r="C24" s="5"/>
      <c r="D24" s="1"/>
      <c r="E24" s="6"/>
      <c r="F24" s="14"/>
      <c r="H24" s="33" t="s">
        <v>87</v>
      </c>
      <c r="I24" s="20">
        <v>29</v>
      </c>
      <c r="J24" s="20">
        <f t="shared" si="1"/>
        <v>0</v>
      </c>
      <c r="K24" s="122"/>
    </row>
    <row r="25" spans="2:11" ht="15">
      <c r="B25" s="13" t="s">
        <v>17</v>
      </c>
      <c r="C25" s="5">
        <v>34.78</v>
      </c>
      <c r="D25" s="1">
        <v>723</v>
      </c>
      <c r="E25" s="6">
        <v>273</v>
      </c>
      <c r="F25" s="14">
        <f t="shared" si="0"/>
        <v>0.020787809085681425</v>
      </c>
      <c r="I25" s="20"/>
      <c r="J25" s="20">
        <f t="shared" si="1"/>
        <v>5.780000000000001</v>
      </c>
      <c r="K25" s="122">
        <f>SUM(I25:J27)</f>
        <v>144.06</v>
      </c>
    </row>
    <row r="26" spans="2:11" ht="15">
      <c r="B26" s="13" t="s">
        <v>18</v>
      </c>
      <c r="C26" s="5">
        <v>86.28</v>
      </c>
      <c r="D26" s="1">
        <v>1489</v>
      </c>
      <c r="E26" s="6">
        <v>1447</v>
      </c>
      <c r="F26" s="14">
        <f t="shared" si="0"/>
        <v>0.017257765414928142</v>
      </c>
      <c r="I26" s="20"/>
      <c r="J26" s="20">
        <f t="shared" si="1"/>
        <v>86.28</v>
      </c>
      <c r="K26" s="122"/>
    </row>
    <row r="27" spans="2:11" ht="30">
      <c r="B27" s="13"/>
      <c r="C27" s="5"/>
      <c r="D27" s="1"/>
      <c r="E27" s="6"/>
      <c r="F27" s="14"/>
      <c r="H27" s="33" t="s">
        <v>88</v>
      </c>
      <c r="I27" s="20">
        <v>52</v>
      </c>
      <c r="J27" s="20">
        <f t="shared" si="1"/>
        <v>0</v>
      </c>
      <c r="K27" s="122"/>
    </row>
    <row r="28" spans="2:11" ht="15">
      <c r="B28" s="13" t="s">
        <v>19</v>
      </c>
      <c r="C28" s="5">
        <v>70.91</v>
      </c>
      <c r="D28" s="1">
        <v>1813</v>
      </c>
      <c r="E28" s="6">
        <v>1402</v>
      </c>
      <c r="F28" s="14">
        <f t="shared" si="0"/>
        <v>0.02556762092793682</v>
      </c>
      <c r="I28" s="32"/>
      <c r="J28" s="20">
        <f t="shared" si="1"/>
        <v>18.909999999999997</v>
      </c>
      <c r="K28" s="122">
        <f>SUM(I28:J30)</f>
        <v>150.67000000000002</v>
      </c>
    </row>
    <row r="29" spans="2:11" ht="15">
      <c r="B29" s="13" t="s">
        <v>20</v>
      </c>
      <c r="C29" s="5">
        <v>83.76</v>
      </c>
      <c r="D29" s="1">
        <v>786</v>
      </c>
      <c r="E29" s="6">
        <v>1612</v>
      </c>
      <c r="F29" s="14">
        <f t="shared" si="0"/>
        <v>0.009383954154727793</v>
      </c>
      <c r="I29" s="32"/>
      <c r="J29" s="20">
        <f t="shared" si="1"/>
        <v>83.76</v>
      </c>
      <c r="K29" s="122"/>
    </row>
    <row r="30" spans="2:11" ht="30">
      <c r="B30" s="13"/>
      <c r="C30" s="5"/>
      <c r="D30" s="1"/>
      <c r="E30" s="6"/>
      <c r="F30" s="14"/>
      <c r="H30" s="33" t="s">
        <v>89</v>
      </c>
      <c r="I30" s="32">
        <v>48</v>
      </c>
      <c r="J30" s="20">
        <f t="shared" si="1"/>
        <v>0</v>
      </c>
      <c r="K30" s="122"/>
    </row>
    <row r="31" spans="2:11" ht="15">
      <c r="B31" s="13" t="s">
        <v>21</v>
      </c>
      <c r="C31" s="5">
        <v>68.14</v>
      </c>
      <c r="D31" s="1">
        <v>1209</v>
      </c>
      <c r="E31" s="6">
        <v>977</v>
      </c>
      <c r="F31" s="14">
        <f t="shared" si="0"/>
        <v>0.0177428823011447</v>
      </c>
      <c r="I31" s="32"/>
      <c r="J31" s="20">
        <f t="shared" si="1"/>
        <v>20.14</v>
      </c>
      <c r="K31" s="122">
        <f>SUM(I31:J33)</f>
        <v>158.47</v>
      </c>
    </row>
    <row r="32" spans="2:11" ht="15">
      <c r="B32" s="13" t="s">
        <v>22</v>
      </c>
      <c r="C32" s="5">
        <v>59.77</v>
      </c>
      <c r="D32" s="1">
        <v>1579</v>
      </c>
      <c r="E32" s="6">
        <v>1181</v>
      </c>
      <c r="F32" s="14">
        <f t="shared" si="0"/>
        <v>0.026417935419106576</v>
      </c>
      <c r="I32" s="32"/>
      <c r="J32" s="32">
        <f t="shared" si="1"/>
        <v>59.77</v>
      </c>
      <c r="K32" s="122"/>
    </row>
    <row r="33" spans="2:11" ht="15.75" thickBot="1">
      <c r="B33" s="13" t="s">
        <v>23</v>
      </c>
      <c r="C33" s="7">
        <v>78.56</v>
      </c>
      <c r="D33" s="8">
        <v>2128</v>
      </c>
      <c r="E33" s="9">
        <v>2484</v>
      </c>
      <c r="F33" s="15">
        <f t="shared" si="0"/>
        <v>0.027087576374745417</v>
      </c>
      <c r="H33" t="s">
        <v>80</v>
      </c>
      <c r="I33" s="32"/>
      <c r="J33" s="32">
        <f t="shared" si="1"/>
        <v>78.56</v>
      </c>
      <c r="K33" s="122"/>
    </row>
    <row r="34" spans="2:6" ht="15.75" thickBot="1">
      <c r="B34" s="16"/>
      <c r="C34" s="17">
        <f>SUM(C4:C33)</f>
        <v>1557.2</v>
      </c>
      <c r="D34" s="18">
        <f>SUM(D4:D33)</f>
        <v>26856</v>
      </c>
      <c r="E34" s="19">
        <f>SUM(E4:E33)</f>
        <v>26312</v>
      </c>
      <c r="F34" s="10">
        <f>(D34/(C34*1000))</f>
        <v>0.01724633958386848</v>
      </c>
    </row>
  </sheetData>
  <sheetProtection/>
  <mergeCells count="10">
    <mergeCell ref="K28:K30"/>
    <mergeCell ref="K31:K33"/>
    <mergeCell ref="K25:K27"/>
    <mergeCell ref="K2:K4"/>
    <mergeCell ref="K5:K7"/>
    <mergeCell ref="K8:K10"/>
    <mergeCell ref="K11:K14"/>
    <mergeCell ref="K19:K21"/>
    <mergeCell ref="K22:K24"/>
    <mergeCell ref="K15:K18"/>
  </mergeCells>
  <conditionalFormatting sqref="F2:F27">
    <cfRule type="top10" priority="42" dxfId="15" stopIfTrue="1" rank="35" bottom="1" percent="1"/>
    <cfRule type="top10" priority="43" dxfId="16" stopIfTrue="1" rank="35" percent="1"/>
  </conditionalFormatting>
  <conditionalFormatting sqref="F28:F34">
    <cfRule type="top10" priority="2" dxfId="15" stopIfTrue="1" rank="35" bottom="1" percent="1"/>
    <cfRule type="top10" priority="3" dxfId="16" stopIfTrue="1" rank="35" percent="1"/>
  </conditionalFormatting>
  <conditionalFormatting sqref="I2:K33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7">
      <selection activeCell="G38" sqref="G38"/>
    </sheetView>
  </sheetViews>
  <sheetFormatPr defaultColWidth="11.421875" defaultRowHeight="15"/>
  <cols>
    <col min="3" max="3" width="24.421875" style="0" customWidth="1"/>
    <col min="4" max="4" width="22.8515625" style="0" customWidth="1"/>
    <col min="5" max="5" width="7.00390625" style="0" bestFit="1" customWidth="1"/>
    <col min="6" max="7" width="7.140625" style="0" bestFit="1" customWidth="1"/>
  </cols>
  <sheetData>
    <row r="1" spans="2:7" ht="15">
      <c r="B1" s="95" t="s">
        <v>142</v>
      </c>
      <c r="C1" s="95" t="s">
        <v>123</v>
      </c>
      <c r="D1" s="95" t="s">
        <v>138</v>
      </c>
      <c r="E1" s="95" t="s">
        <v>139</v>
      </c>
      <c r="F1" s="95" t="s">
        <v>140</v>
      </c>
      <c r="G1" s="95" t="s">
        <v>141</v>
      </c>
    </row>
    <row r="2" spans="2:7" ht="15">
      <c r="B2" s="79">
        <v>1</v>
      </c>
      <c r="C2" s="80" t="s">
        <v>99</v>
      </c>
      <c r="D2" s="80" t="s">
        <v>100</v>
      </c>
      <c r="E2" s="80">
        <v>68.7</v>
      </c>
      <c r="F2" s="80">
        <v>968</v>
      </c>
      <c r="G2" s="80">
        <v>797</v>
      </c>
    </row>
    <row r="3" spans="2:7" ht="30">
      <c r="B3" s="81">
        <v>2</v>
      </c>
      <c r="C3" s="82" t="s">
        <v>100</v>
      </c>
      <c r="D3" s="82" t="s">
        <v>101</v>
      </c>
      <c r="E3" s="82">
        <v>92</v>
      </c>
      <c r="F3" s="82">
        <v>991</v>
      </c>
      <c r="G3" s="82">
        <v>1210</v>
      </c>
    </row>
    <row r="4" spans="2:7" ht="30">
      <c r="B4" s="81">
        <v>3</v>
      </c>
      <c r="C4" s="82" t="s">
        <v>101</v>
      </c>
      <c r="D4" s="82" t="s">
        <v>102</v>
      </c>
      <c r="E4" s="82">
        <v>73</v>
      </c>
      <c r="F4" s="82">
        <v>645</v>
      </c>
      <c r="G4" s="82">
        <v>450</v>
      </c>
    </row>
    <row r="5" spans="2:7" ht="30">
      <c r="B5" s="81">
        <v>4</v>
      </c>
      <c r="C5" s="82" t="s">
        <v>102</v>
      </c>
      <c r="D5" s="82" t="s">
        <v>103</v>
      </c>
      <c r="E5" s="82">
        <v>66.8</v>
      </c>
      <c r="F5" s="82">
        <v>544</v>
      </c>
      <c r="G5" s="82">
        <v>674</v>
      </c>
    </row>
    <row r="6" spans="2:7" ht="15">
      <c r="B6" s="81">
        <v>5</v>
      </c>
      <c r="C6" s="82" t="s">
        <v>103</v>
      </c>
      <c r="D6" s="82" t="s">
        <v>104</v>
      </c>
      <c r="E6" s="82">
        <v>62</v>
      </c>
      <c r="F6" s="82">
        <v>810</v>
      </c>
      <c r="G6" s="82">
        <v>635</v>
      </c>
    </row>
    <row r="7" spans="2:7" ht="15">
      <c r="B7" s="81">
        <v>6</v>
      </c>
      <c r="C7" s="82" t="s">
        <v>104</v>
      </c>
      <c r="D7" s="82" t="s">
        <v>105</v>
      </c>
      <c r="E7" s="82">
        <v>116.1</v>
      </c>
      <c r="F7" s="82">
        <v>2056</v>
      </c>
      <c r="G7" s="82">
        <v>1843</v>
      </c>
    </row>
    <row r="8" spans="2:7" ht="15">
      <c r="B8" s="81">
        <v>7</v>
      </c>
      <c r="C8" s="82" t="s">
        <v>105</v>
      </c>
      <c r="D8" s="82" t="s">
        <v>26</v>
      </c>
      <c r="E8" s="82">
        <v>104.9</v>
      </c>
      <c r="F8" s="82">
        <v>1144</v>
      </c>
      <c r="G8" s="82">
        <v>1388</v>
      </c>
    </row>
    <row r="9" spans="2:7" ht="15">
      <c r="B9" s="81">
        <v>8</v>
      </c>
      <c r="C9" s="82" t="s">
        <v>26</v>
      </c>
      <c r="D9" s="82" t="s">
        <v>106</v>
      </c>
      <c r="E9" s="82">
        <v>63.7</v>
      </c>
      <c r="F9" s="82">
        <v>1082</v>
      </c>
      <c r="G9" s="82">
        <v>906</v>
      </c>
    </row>
    <row r="10" spans="2:7" ht="15">
      <c r="B10" s="81">
        <v>9</v>
      </c>
      <c r="C10" s="82" t="s">
        <v>106</v>
      </c>
      <c r="D10" s="82" t="s">
        <v>107</v>
      </c>
      <c r="E10" s="82">
        <v>60.3</v>
      </c>
      <c r="F10" s="82">
        <v>844</v>
      </c>
      <c r="G10" s="82">
        <v>954</v>
      </c>
    </row>
    <row r="11" spans="2:7" ht="15">
      <c r="B11" s="81">
        <v>10</v>
      </c>
      <c r="C11" s="82" t="s">
        <v>107</v>
      </c>
      <c r="D11" s="82" t="s">
        <v>108</v>
      </c>
      <c r="E11" s="82">
        <v>78</v>
      </c>
      <c r="F11" s="82">
        <v>1348</v>
      </c>
      <c r="G11" s="82">
        <v>1326</v>
      </c>
    </row>
    <row r="12" spans="2:7" ht="15">
      <c r="B12" s="81">
        <v>11</v>
      </c>
      <c r="C12" s="82" t="s">
        <v>108</v>
      </c>
      <c r="D12" s="82" t="s">
        <v>109</v>
      </c>
      <c r="E12" s="82">
        <v>56.3</v>
      </c>
      <c r="F12" s="82">
        <v>1294</v>
      </c>
      <c r="G12" s="82">
        <v>432</v>
      </c>
    </row>
    <row r="13" spans="2:7" ht="15">
      <c r="B13" s="81">
        <v>12</v>
      </c>
      <c r="C13" s="82" t="s">
        <v>109</v>
      </c>
      <c r="D13" s="82" t="s">
        <v>110</v>
      </c>
      <c r="E13" s="82">
        <v>58.9</v>
      </c>
      <c r="F13" s="82">
        <v>1169</v>
      </c>
      <c r="G13" s="82">
        <v>1273</v>
      </c>
    </row>
    <row r="14" spans="2:7" ht="15">
      <c r="B14" s="81">
        <v>13</v>
      </c>
      <c r="C14" s="82" t="s">
        <v>110</v>
      </c>
      <c r="D14" s="82" t="s">
        <v>111</v>
      </c>
      <c r="E14" s="82">
        <v>58.6</v>
      </c>
      <c r="F14" s="82">
        <v>1228</v>
      </c>
      <c r="G14" s="82">
        <v>1035</v>
      </c>
    </row>
    <row r="15" spans="2:7" ht="15">
      <c r="B15" s="81">
        <v>14</v>
      </c>
      <c r="C15" s="82" t="s">
        <v>111</v>
      </c>
      <c r="D15" s="82" t="s">
        <v>112</v>
      </c>
      <c r="E15" s="82">
        <v>75.9</v>
      </c>
      <c r="F15" s="82">
        <v>1025</v>
      </c>
      <c r="G15" s="82">
        <v>1927</v>
      </c>
    </row>
    <row r="16" spans="2:7" ht="15">
      <c r="B16" s="81">
        <v>15</v>
      </c>
      <c r="C16" s="82" t="s">
        <v>112</v>
      </c>
      <c r="D16" s="82" t="s">
        <v>79</v>
      </c>
      <c r="E16" s="82">
        <v>49</v>
      </c>
      <c r="F16" s="82">
        <v>951</v>
      </c>
      <c r="G16" s="82">
        <v>489</v>
      </c>
    </row>
    <row r="17" spans="2:7" ht="15">
      <c r="B17" s="81">
        <v>16</v>
      </c>
      <c r="C17" s="82" t="s">
        <v>79</v>
      </c>
      <c r="D17" s="82" t="s">
        <v>113</v>
      </c>
      <c r="E17" s="82">
        <v>70.9</v>
      </c>
      <c r="F17" s="82">
        <v>1438</v>
      </c>
      <c r="G17" s="82">
        <v>1644</v>
      </c>
    </row>
    <row r="18" spans="2:7" ht="15">
      <c r="B18" s="81">
        <v>17</v>
      </c>
      <c r="C18" s="82" t="s">
        <v>113</v>
      </c>
      <c r="D18" s="82" t="s">
        <v>114</v>
      </c>
      <c r="E18" s="82">
        <v>93.7</v>
      </c>
      <c r="F18" s="82">
        <v>1926</v>
      </c>
      <c r="G18" s="82">
        <v>2367</v>
      </c>
    </row>
    <row r="19" spans="2:7" ht="15">
      <c r="B19" s="81">
        <v>18</v>
      </c>
      <c r="C19" s="82" t="s">
        <v>115</v>
      </c>
      <c r="D19" s="82" t="s">
        <v>116</v>
      </c>
      <c r="E19" s="82">
        <v>34.8</v>
      </c>
      <c r="F19" s="82">
        <v>723</v>
      </c>
      <c r="G19" s="82">
        <v>273</v>
      </c>
    </row>
    <row r="20" spans="2:7" ht="15">
      <c r="B20" s="81">
        <v>19</v>
      </c>
      <c r="C20" s="82" t="s">
        <v>116</v>
      </c>
      <c r="D20" s="82" t="s">
        <v>117</v>
      </c>
      <c r="E20" s="82">
        <v>85.5</v>
      </c>
      <c r="F20" s="82">
        <v>1484</v>
      </c>
      <c r="G20" s="82">
        <v>1434</v>
      </c>
    </row>
    <row r="21" spans="2:7" ht="15">
      <c r="B21" s="81">
        <v>20</v>
      </c>
      <c r="C21" s="82" t="s">
        <v>117</v>
      </c>
      <c r="D21" s="82" t="s">
        <v>118</v>
      </c>
      <c r="E21" s="82">
        <v>72.7</v>
      </c>
      <c r="F21" s="82">
        <v>1282</v>
      </c>
      <c r="G21" s="82">
        <v>1262</v>
      </c>
    </row>
    <row r="22" spans="2:7" ht="15">
      <c r="B22" s="81">
        <v>21</v>
      </c>
      <c r="C22" s="82" t="s">
        <v>118</v>
      </c>
      <c r="D22" s="82" t="s">
        <v>132</v>
      </c>
      <c r="E22" s="82">
        <v>98.3</v>
      </c>
      <c r="F22" s="82">
        <v>1400</v>
      </c>
      <c r="G22" s="82">
        <v>1671</v>
      </c>
    </row>
    <row r="23" spans="2:7" ht="15">
      <c r="B23" s="81">
        <v>22</v>
      </c>
      <c r="C23" s="82" t="s">
        <v>132</v>
      </c>
      <c r="D23" s="82" t="s">
        <v>120</v>
      </c>
      <c r="E23" s="82">
        <v>47.3</v>
      </c>
      <c r="F23" s="82">
        <v>816</v>
      </c>
      <c r="G23" s="82">
        <v>780</v>
      </c>
    </row>
    <row r="24" spans="2:7" ht="15">
      <c r="B24" s="81">
        <v>23</v>
      </c>
      <c r="C24" s="82" t="s">
        <v>120</v>
      </c>
      <c r="D24" s="82" t="s">
        <v>121</v>
      </c>
      <c r="E24" s="82">
        <v>59.8</v>
      </c>
      <c r="F24" s="82">
        <v>1579</v>
      </c>
      <c r="G24" s="82">
        <v>1181</v>
      </c>
    </row>
    <row r="25" spans="2:7" ht="15">
      <c r="B25" s="81">
        <v>24</v>
      </c>
      <c r="C25" s="82" t="s">
        <v>121</v>
      </c>
      <c r="D25" s="82" t="s">
        <v>80</v>
      </c>
      <c r="E25" s="82">
        <v>78.6</v>
      </c>
      <c r="F25" s="82">
        <v>2128</v>
      </c>
      <c r="G25" s="82">
        <v>2484</v>
      </c>
    </row>
    <row r="26" spans="5:7" ht="15">
      <c r="E26">
        <f>SUM(E2:E25)</f>
        <v>1725.8</v>
      </c>
      <c r="F26">
        <f>SUM(F2:F25)</f>
        <v>28875</v>
      </c>
      <c r="G26">
        <f>SUM(G2:G25)</f>
        <v>28435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3"/>
  <sheetViews>
    <sheetView zoomScalePageLayoutView="0" workbookViewId="0" topLeftCell="A1">
      <selection activeCell="L5" sqref="L5:L8"/>
    </sheetView>
  </sheetViews>
  <sheetFormatPr defaultColWidth="11.421875" defaultRowHeight="15"/>
  <cols>
    <col min="1" max="1" width="1.421875" style="0" customWidth="1"/>
    <col min="2" max="2" width="6.00390625" style="0" bestFit="1" customWidth="1"/>
    <col min="3" max="4" width="24.7109375" style="0" bestFit="1" customWidth="1"/>
    <col min="5" max="5" width="12.421875" style="0" customWidth="1"/>
    <col min="6" max="6" width="8.140625" style="0" bestFit="1" customWidth="1"/>
    <col min="7" max="7" width="7.8515625" style="0" bestFit="1" customWidth="1"/>
    <col min="8" max="8" width="1.421875" style="0" customWidth="1"/>
    <col min="10" max="10" width="1.421875" style="0" customWidth="1"/>
  </cols>
  <sheetData>
    <row r="2" spans="2:9" ht="15">
      <c r="B2" s="83" t="s">
        <v>122</v>
      </c>
      <c r="C2" s="84" t="s">
        <v>123</v>
      </c>
      <c r="D2" s="84" t="s">
        <v>124</v>
      </c>
      <c r="E2" s="84" t="s">
        <v>129</v>
      </c>
      <c r="F2" s="84" t="s">
        <v>125</v>
      </c>
      <c r="G2" s="84" t="s">
        <v>126</v>
      </c>
      <c r="I2" s="88" t="s">
        <v>127</v>
      </c>
    </row>
    <row r="3" spans="2:12" ht="15">
      <c r="B3" s="85">
        <v>1</v>
      </c>
      <c r="C3" s="86" t="s">
        <v>99</v>
      </c>
      <c r="D3" s="86" t="s">
        <v>100</v>
      </c>
      <c r="E3" s="86">
        <v>68.81</v>
      </c>
      <c r="F3" s="86">
        <v>968</v>
      </c>
      <c r="G3" s="86">
        <v>797</v>
      </c>
      <c r="I3" s="133" t="s">
        <v>78</v>
      </c>
      <c r="K3" s="67"/>
      <c r="L3" s="134">
        <f>K4-MAX($K$3:K3)</f>
        <v>80.871</v>
      </c>
    </row>
    <row r="4" spans="2:12" ht="15">
      <c r="B4" s="85"/>
      <c r="C4" s="86"/>
      <c r="D4" s="86"/>
      <c r="E4" s="86"/>
      <c r="F4" s="86"/>
      <c r="G4" s="86"/>
      <c r="I4" s="133"/>
      <c r="K4" s="69">
        <v>80.871</v>
      </c>
      <c r="L4" s="135"/>
    </row>
    <row r="5" spans="2:12" ht="15">
      <c r="B5" s="85">
        <v>2</v>
      </c>
      <c r="C5" s="86" t="s">
        <v>100</v>
      </c>
      <c r="D5" s="94" t="s">
        <v>101</v>
      </c>
      <c r="E5" s="86">
        <v>160.958</v>
      </c>
      <c r="F5" s="86">
        <v>991</v>
      </c>
      <c r="G5" s="86">
        <v>1210</v>
      </c>
      <c r="I5" s="123" t="s">
        <v>130</v>
      </c>
      <c r="K5" s="67"/>
      <c r="L5" s="125">
        <f>K8-MAX($K$3:K7)</f>
        <v>245.377</v>
      </c>
    </row>
    <row r="6" spans="2:12" ht="15">
      <c r="B6" s="85">
        <v>3</v>
      </c>
      <c r="C6" s="86" t="s">
        <v>101</v>
      </c>
      <c r="D6" s="86" t="s">
        <v>102</v>
      </c>
      <c r="E6" s="86">
        <v>233.994</v>
      </c>
      <c r="F6" s="86">
        <v>645</v>
      </c>
      <c r="G6" s="86">
        <v>450</v>
      </c>
      <c r="I6" s="123"/>
      <c r="K6" s="69"/>
      <c r="L6" s="126"/>
    </row>
    <row r="7" spans="2:12" ht="15">
      <c r="B7" s="85">
        <v>4</v>
      </c>
      <c r="C7" s="86" t="s">
        <v>102</v>
      </c>
      <c r="D7" s="86" t="s">
        <v>103</v>
      </c>
      <c r="E7" s="86">
        <v>301.397</v>
      </c>
      <c r="F7" s="86">
        <v>544</v>
      </c>
      <c r="G7" s="86">
        <v>674</v>
      </c>
      <c r="I7" s="123"/>
      <c r="K7" s="67"/>
      <c r="L7" s="126"/>
    </row>
    <row r="8" spans="2:12" ht="15">
      <c r="B8" s="85"/>
      <c r="C8" s="86"/>
      <c r="D8" s="86"/>
      <c r="E8" s="86"/>
      <c r="F8" s="86"/>
      <c r="G8" s="86"/>
      <c r="I8" s="124"/>
      <c r="K8" s="93">
        <v>326.248</v>
      </c>
      <c r="L8" s="127"/>
    </row>
    <row r="9" spans="2:12" ht="15">
      <c r="B9" s="85">
        <v>5</v>
      </c>
      <c r="C9" s="86" t="s">
        <v>103</v>
      </c>
      <c r="D9" s="86" t="s">
        <v>104</v>
      </c>
      <c r="E9" s="86">
        <v>362.958</v>
      </c>
      <c r="F9" s="86">
        <v>810</v>
      </c>
      <c r="G9" s="86">
        <v>635</v>
      </c>
      <c r="I9" s="128" t="s">
        <v>131</v>
      </c>
      <c r="L9" s="125">
        <f>K11-MAX($K$3:K10)</f>
        <v>230.41000000000003</v>
      </c>
    </row>
    <row r="10" spans="2:12" ht="15">
      <c r="B10" s="85">
        <v>6</v>
      </c>
      <c r="C10" s="86" t="s">
        <v>104</v>
      </c>
      <c r="D10" s="86" t="s">
        <v>105</v>
      </c>
      <c r="E10" s="86"/>
      <c r="F10" s="86">
        <v>2056</v>
      </c>
      <c r="G10" s="86">
        <v>1843</v>
      </c>
      <c r="I10" s="129"/>
      <c r="L10" s="126"/>
    </row>
    <row r="11" spans="2:12" ht="15">
      <c r="B11" s="85"/>
      <c r="C11" s="86"/>
      <c r="D11" s="86"/>
      <c r="E11" s="86"/>
      <c r="F11" s="86"/>
      <c r="G11" s="86"/>
      <c r="I11" s="129"/>
      <c r="K11">
        <v>556.658</v>
      </c>
      <c r="L11" s="127"/>
    </row>
    <row r="12" spans="2:12" ht="15" customHeight="1">
      <c r="B12" s="85">
        <v>7</v>
      </c>
      <c r="C12" s="86" t="s">
        <v>105</v>
      </c>
      <c r="D12" s="86" t="s">
        <v>26</v>
      </c>
      <c r="E12" s="86"/>
      <c r="F12" s="86">
        <v>1144</v>
      </c>
      <c r="G12" s="86">
        <v>1388</v>
      </c>
      <c r="I12" s="92"/>
      <c r="L12" s="89"/>
    </row>
    <row r="13" spans="2:12" ht="15">
      <c r="B13" s="85">
        <v>8</v>
      </c>
      <c r="C13" s="86" t="s">
        <v>26</v>
      </c>
      <c r="D13" s="86" t="s">
        <v>106</v>
      </c>
      <c r="E13" s="86"/>
      <c r="F13" s="86">
        <v>1082</v>
      </c>
      <c r="G13" s="86">
        <v>906</v>
      </c>
      <c r="I13" s="92"/>
      <c r="L13" s="90"/>
    </row>
    <row r="14" spans="2:12" ht="15">
      <c r="B14" s="85">
        <v>9</v>
      </c>
      <c r="C14" s="86" t="s">
        <v>106</v>
      </c>
      <c r="D14" s="86" t="s">
        <v>107</v>
      </c>
      <c r="E14" s="86"/>
      <c r="F14" s="86">
        <v>844</v>
      </c>
      <c r="G14" s="86">
        <v>954</v>
      </c>
      <c r="I14" s="92"/>
      <c r="L14" s="90"/>
    </row>
    <row r="15" spans="2:12" ht="15">
      <c r="B15" s="85"/>
      <c r="C15" s="86"/>
      <c r="D15" s="86"/>
      <c r="E15" s="86"/>
      <c r="F15" s="86"/>
      <c r="G15" s="86"/>
      <c r="I15" s="92"/>
      <c r="L15" s="90"/>
    </row>
    <row r="16" spans="2:12" ht="15">
      <c r="B16" s="85">
        <v>10</v>
      </c>
      <c r="C16" s="86" t="s">
        <v>107</v>
      </c>
      <c r="D16" s="86" t="s">
        <v>108</v>
      </c>
      <c r="E16" s="86"/>
      <c r="F16" s="86">
        <v>1348</v>
      </c>
      <c r="G16" s="86">
        <v>1326</v>
      </c>
      <c r="I16" s="91"/>
      <c r="L16" s="90"/>
    </row>
    <row r="17" spans="2:12" ht="15">
      <c r="B17" s="85">
        <v>11</v>
      </c>
      <c r="C17" s="86" t="s">
        <v>108</v>
      </c>
      <c r="D17" s="86" t="s">
        <v>109</v>
      </c>
      <c r="E17" s="86"/>
      <c r="F17" s="86">
        <v>1294</v>
      </c>
      <c r="G17" s="86">
        <v>432</v>
      </c>
      <c r="I17" s="91"/>
      <c r="L17" s="90"/>
    </row>
    <row r="18" spans="2:12" ht="15">
      <c r="B18" s="85"/>
      <c r="C18" s="86"/>
      <c r="D18" s="86"/>
      <c r="E18" s="86"/>
      <c r="F18" s="86"/>
      <c r="G18" s="86"/>
      <c r="I18" s="91"/>
      <c r="L18" s="90"/>
    </row>
    <row r="19" spans="2:7" ht="15">
      <c r="B19" s="85">
        <v>12</v>
      </c>
      <c r="C19" s="86" t="s">
        <v>109</v>
      </c>
      <c r="D19" s="86" t="s">
        <v>110</v>
      </c>
      <c r="E19" s="86"/>
      <c r="F19" s="86">
        <v>1169</v>
      </c>
      <c r="G19" s="86">
        <v>1273</v>
      </c>
    </row>
    <row r="20" spans="2:7" ht="15">
      <c r="B20" s="85">
        <v>13</v>
      </c>
      <c r="C20" s="86" t="s">
        <v>110</v>
      </c>
      <c r="D20" s="86" t="s">
        <v>111</v>
      </c>
      <c r="E20" s="86"/>
      <c r="F20" s="86">
        <v>1228</v>
      </c>
      <c r="G20" s="86">
        <v>1035</v>
      </c>
    </row>
    <row r="21" spans="2:7" ht="15">
      <c r="B21" s="85">
        <v>14</v>
      </c>
      <c r="C21" s="86" t="s">
        <v>111</v>
      </c>
      <c r="D21" s="86" t="s">
        <v>112</v>
      </c>
      <c r="E21" s="86"/>
      <c r="F21" s="86">
        <v>1025</v>
      </c>
      <c r="G21" s="86">
        <v>1927</v>
      </c>
    </row>
    <row r="22" spans="2:7" ht="15">
      <c r="B22" s="85">
        <v>15</v>
      </c>
      <c r="C22" s="86" t="s">
        <v>112</v>
      </c>
      <c r="D22" s="86" t="s">
        <v>79</v>
      </c>
      <c r="E22" s="86"/>
      <c r="F22" s="86">
        <v>951</v>
      </c>
      <c r="G22" s="86">
        <v>489</v>
      </c>
    </row>
    <row r="23" spans="2:7" ht="15">
      <c r="B23" s="85">
        <v>16</v>
      </c>
      <c r="C23" s="86" t="s">
        <v>79</v>
      </c>
      <c r="D23" s="86" t="s">
        <v>113</v>
      </c>
      <c r="E23" s="86"/>
      <c r="F23" s="86">
        <v>1438</v>
      </c>
      <c r="G23" s="86">
        <v>1644</v>
      </c>
    </row>
    <row r="24" spans="2:7" ht="15">
      <c r="B24" s="85">
        <v>17</v>
      </c>
      <c r="C24" s="86" t="s">
        <v>113</v>
      </c>
      <c r="D24" s="86" t="s">
        <v>114</v>
      </c>
      <c r="E24" s="86"/>
      <c r="F24" s="86">
        <v>1926</v>
      </c>
      <c r="G24" s="86">
        <v>2367</v>
      </c>
    </row>
    <row r="25" spans="2:7" ht="15">
      <c r="B25" s="85">
        <v>18</v>
      </c>
      <c r="C25" s="86" t="s">
        <v>115</v>
      </c>
      <c r="D25" s="86" t="s">
        <v>116</v>
      </c>
      <c r="E25" s="86"/>
      <c r="F25" s="86">
        <v>723</v>
      </c>
      <c r="G25" s="86">
        <v>273</v>
      </c>
    </row>
    <row r="26" spans="2:7" ht="15">
      <c r="B26" s="85">
        <v>19</v>
      </c>
      <c r="C26" s="86" t="s">
        <v>116</v>
      </c>
      <c r="D26" s="86" t="s">
        <v>117</v>
      </c>
      <c r="E26" s="86"/>
      <c r="F26" s="86">
        <v>1484</v>
      </c>
      <c r="G26" s="86">
        <v>1434</v>
      </c>
    </row>
    <row r="27" spans="2:7" ht="15">
      <c r="B27" s="85">
        <v>20</v>
      </c>
      <c r="C27" s="86" t="s">
        <v>117</v>
      </c>
      <c r="D27" s="86" t="s">
        <v>118</v>
      </c>
      <c r="E27" s="86"/>
      <c r="F27" s="86">
        <v>1282</v>
      </c>
      <c r="G27" s="86">
        <v>1262</v>
      </c>
    </row>
    <row r="28" spans="2:7" ht="15">
      <c r="B28" s="85">
        <v>21</v>
      </c>
      <c r="C28" s="86" t="s">
        <v>118</v>
      </c>
      <c r="D28" s="86" t="s">
        <v>119</v>
      </c>
      <c r="E28" s="86"/>
      <c r="F28" s="86">
        <v>1400</v>
      </c>
      <c r="G28" s="86">
        <v>1671</v>
      </c>
    </row>
    <row r="29" spans="2:7" ht="15">
      <c r="B29" s="85">
        <v>22</v>
      </c>
      <c r="C29" s="86" t="s">
        <v>119</v>
      </c>
      <c r="D29" s="86" t="s">
        <v>120</v>
      </c>
      <c r="E29" s="86"/>
      <c r="F29" s="86">
        <v>816</v>
      </c>
      <c r="G29" s="86">
        <v>780</v>
      </c>
    </row>
    <row r="30" spans="2:7" ht="15">
      <c r="B30" s="85">
        <v>23</v>
      </c>
      <c r="C30" s="86" t="s">
        <v>120</v>
      </c>
      <c r="D30" s="86" t="s">
        <v>121</v>
      </c>
      <c r="E30" s="86"/>
      <c r="F30" s="86">
        <v>1579</v>
      </c>
      <c r="G30" s="86">
        <v>1181</v>
      </c>
    </row>
    <row r="31" spans="2:9" ht="15">
      <c r="B31" s="85"/>
      <c r="C31" s="86"/>
      <c r="D31" s="86"/>
      <c r="E31" s="86"/>
      <c r="F31" s="86"/>
      <c r="G31" s="86"/>
      <c r="I31" t="s">
        <v>128</v>
      </c>
    </row>
    <row r="32" spans="2:9" ht="15">
      <c r="B32" s="85">
        <v>24</v>
      </c>
      <c r="C32" s="86" t="s">
        <v>121</v>
      </c>
      <c r="D32" s="86" t="s">
        <v>80</v>
      </c>
      <c r="E32" s="86"/>
      <c r="F32" s="86">
        <v>2128</v>
      </c>
      <c r="G32" s="86">
        <v>2484</v>
      </c>
      <c r="I32" t="s">
        <v>80</v>
      </c>
    </row>
    <row r="33" spans="2:7" ht="15">
      <c r="B33" s="130"/>
      <c r="C33" s="131"/>
      <c r="D33" s="132"/>
      <c r="E33" s="87">
        <f>MAX(E3:E32)</f>
        <v>362.958</v>
      </c>
      <c r="F33" s="87">
        <f>SUM(F3:F32)</f>
        <v>28875</v>
      </c>
      <c r="G33" s="87">
        <f>SUM(G3:G32)</f>
        <v>28435</v>
      </c>
    </row>
  </sheetData>
  <sheetProtection/>
  <mergeCells count="7">
    <mergeCell ref="I5:I8"/>
    <mergeCell ref="L5:L8"/>
    <mergeCell ref="I9:I11"/>
    <mergeCell ref="B33:D33"/>
    <mergeCell ref="I3:I4"/>
    <mergeCell ref="L3:L4"/>
    <mergeCell ref="L9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50"/>
  <sheetViews>
    <sheetView zoomScalePageLayoutView="0" workbookViewId="0" topLeftCell="F1">
      <pane ySplit="2" topLeftCell="A21" activePane="bottomLeft" state="frozen"/>
      <selection pane="topLeft" activeCell="A1" sqref="A1"/>
      <selection pane="bottomLeft" activeCell="R52" sqref="R52"/>
    </sheetView>
  </sheetViews>
  <sheetFormatPr defaultColWidth="11.421875" defaultRowHeight="15"/>
  <cols>
    <col min="1" max="1" width="1.421875" style="0" customWidth="1"/>
    <col min="2" max="2" width="8.421875" style="0" bestFit="1" customWidth="1"/>
    <col min="3" max="3" width="14.421875" style="96" customWidth="1"/>
    <col min="4" max="4" width="10.7109375" style="97" bestFit="1" customWidth="1"/>
    <col min="5" max="6" width="8.140625" style="0" bestFit="1" customWidth="1"/>
    <col min="7" max="7" width="6.140625" style="0" bestFit="1" customWidth="1"/>
    <col min="8" max="8" width="9.7109375" style="96" bestFit="1" customWidth="1"/>
    <col min="9" max="10" width="7.140625" style="0" bestFit="1" customWidth="1"/>
    <col min="11" max="11" width="6.140625" style="0" bestFit="1" customWidth="1"/>
    <col min="12" max="12" width="9.7109375" style="0" bestFit="1" customWidth="1"/>
    <col min="13" max="15" width="7.140625" style="0" bestFit="1" customWidth="1"/>
    <col min="16" max="16" width="1.421875" style="0" customWidth="1"/>
    <col min="17" max="17" width="12.8515625" style="96" customWidth="1"/>
    <col min="18" max="18" width="86.421875" style="0" customWidth="1"/>
  </cols>
  <sheetData>
    <row r="1" spans="2:18" s="95" customFormat="1" ht="15.75">
      <c r="B1" s="22"/>
      <c r="C1" s="22"/>
      <c r="D1" s="158" t="s">
        <v>134</v>
      </c>
      <c r="E1" s="159"/>
      <c r="F1" s="159"/>
      <c r="G1" s="160"/>
      <c r="H1" s="158" t="s">
        <v>133</v>
      </c>
      <c r="I1" s="159"/>
      <c r="J1" s="159"/>
      <c r="K1" s="160"/>
      <c r="L1" s="156" t="s">
        <v>146</v>
      </c>
      <c r="M1" s="157"/>
      <c r="N1" s="157"/>
      <c r="O1" s="157"/>
      <c r="Q1" s="136" t="s">
        <v>143</v>
      </c>
      <c r="R1" s="155" t="s">
        <v>152</v>
      </c>
    </row>
    <row r="2" spans="2:18" s="95" customFormat="1" ht="15">
      <c r="B2" s="99"/>
      <c r="C2" s="99"/>
      <c r="D2" s="99" t="s">
        <v>139</v>
      </c>
      <c r="E2" s="99" t="s">
        <v>140</v>
      </c>
      <c r="F2" s="99" t="s">
        <v>141</v>
      </c>
      <c r="G2" s="99" t="s">
        <v>148</v>
      </c>
      <c r="H2" s="99" t="s">
        <v>139</v>
      </c>
      <c r="I2" s="99" t="s">
        <v>140</v>
      </c>
      <c r="J2" s="99" t="s">
        <v>141</v>
      </c>
      <c r="K2" s="99" t="s">
        <v>148</v>
      </c>
      <c r="L2" s="99" t="s">
        <v>139</v>
      </c>
      <c r="M2" s="99" t="s">
        <v>140</v>
      </c>
      <c r="N2" s="99" t="s">
        <v>141</v>
      </c>
      <c r="O2" s="99" t="s">
        <v>148</v>
      </c>
      <c r="Q2" s="136"/>
      <c r="R2" s="155"/>
    </row>
    <row r="3" spans="2:18" ht="15" customHeight="1">
      <c r="B3" s="136" t="s">
        <v>0</v>
      </c>
      <c r="C3" s="101" t="s">
        <v>99</v>
      </c>
      <c r="D3" s="140">
        <f>H3</f>
        <v>68.71</v>
      </c>
      <c r="E3" s="164">
        <f>I3</f>
        <v>968</v>
      </c>
      <c r="F3" s="164">
        <f>J3</f>
        <v>797</v>
      </c>
      <c r="G3" s="143">
        <f>(E3/D3)/1000</f>
        <v>0.014088196769029254</v>
      </c>
      <c r="H3" s="140">
        <v>68.71</v>
      </c>
      <c r="I3" s="164">
        <v>968</v>
      </c>
      <c r="J3" s="164">
        <v>797</v>
      </c>
      <c r="K3" s="143">
        <f>(I3/H3)/1000</f>
        <v>0.014088196769029254</v>
      </c>
      <c r="L3" s="140">
        <f>SUM(H3:H8)</f>
        <v>233.75</v>
      </c>
      <c r="M3" s="164">
        <f>SUM(I3:I8)</f>
        <v>2604</v>
      </c>
      <c r="N3" s="164">
        <f>SUM(J3:J8)</f>
        <v>2457</v>
      </c>
      <c r="O3" s="161">
        <f>(M3/L3)/1000</f>
        <v>0.011140106951871658</v>
      </c>
      <c r="Q3" s="166" t="s">
        <v>135</v>
      </c>
      <c r="R3" s="167" t="s">
        <v>155</v>
      </c>
    </row>
    <row r="4" spans="2:18" ht="15" customHeight="1">
      <c r="B4" s="136"/>
      <c r="C4" s="137" t="s">
        <v>100</v>
      </c>
      <c r="D4" s="138"/>
      <c r="E4" s="144"/>
      <c r="F4" s="144"/>
      <c r="G4" s="141"/>
      <c r="H4" s="138"/>
      <c r="I4" s="144"/>
      <c r="J4" s="144"/>
      <c r="K4" s="141"/>
      <c r="L4" s="138"/>
      <c r="M4" s="144"/>
      <c r="N4" s="144"/>
      <c r="O4" s="162"/>
      <c r="Q4" s="136"/>
      <c r="R4" s="168"/>
    </row>
    <row r="5" spans="2:18" ht="15">
      <c r="B5" s="136" t="s">
        <v>1</v>
      </c>
      <c r="C5" s="137"/>
      <c r="D5" s="138">
        <f>SUM($H$3:H5)</f>
        <v>160.72</v>
      </c>
      <c r="E5" s="144">
        <f>SUM($I$3:I5)</f>
        <v>1959</v>
      </c>
      <c r="F5" s="144">
        <f>SUM($J$3:J5)</f>
        <v>2007</v>
      </c>
      <c r="G5" s="141">
        <f>(E5/D5)/1000</f>
        <v>0.012188899950223993</v>
      </c>
      <c r="H5" s="138">
        <v>92.01</v>
      </c>
      <c r="I5" s="144">
        <v>991</v>
      </c>
      <c r="J5" s="144">
        <v>1210</v>
      </c>
      <c r="K5" s="141">
        <f>(I5/H5)/1000</f>
        <v>0.01077056841647647</v>
      </c>
      <c r="L5" s="138"/>
      <c r="M5" s="144"/>
      <c r="N5" s="144"/>
      <c r="O5" s="162"/>
      <c r="Q5" s="136"/>
      <c r="R5" s="168"/>
    </row>
    <row r="6" spans="2:18" ht="15">
      <c r="B6" s="136"/>
      <c r="C6" s="137" t="s">
        <v>101</v>
      </c>
      <c r="D6" s="138"/>
      <c r="E6" s="144"/>
      <c r="F6" s="144"/>
      <c r="G6" s="141"/>
      <c r="H6" s="138"/>
      <c r="I6" s="144"/>
      <c r="J6" s="144"/>
      <c r="K6" s="141"/>
      <c r="L6" s="138"/>
      <c r="M6" s="144"/>
      <c r="N6" s="144"/>
      <c r="O6" s="162"/>
      <c r="Q6" s="136"/>
      <c r="R6" s="168"/>
    </row>
    <row r="7" spans="2:18" ht="15">
      <c r="B7" s="136" t="s">
        <v>2</v>
      </c>
      <c r="C7" s="137"/>
      <c r="D7" s="138">
        <f>SUM($H$3:H7)</f>
        <v>233.75</v>
      </c>
      <c r="E7" s="144">
        <f>SUM($I$3:I7)</f>
        <v>2604</v>
      </c>
      <c r="F7" s="144">
        <f>SUM($J$3:J7)</f>
        <v>2457</v>
      </c>
      <c r="G7" s="141">
        <f>(E7/D7)/1000</f>
        <v>0.011140106951871658</v>
      </c>
      <c r="H7" s="138">
        <v>73.03</v>
      </c>
      <c r="I7" s="144">
        <v>645</v>
      </c>
      <c r="J7" s="144">
        <v>450</v>
      </c>
      <c r="K7" s="141">
        <f>(I7/H7)/1000</f>
        <v>0.00883198685471724</v>
      </c>
      <c r="L7" s="138"/>
      <c r="M7" s="144"/>
      <c r="N7" s="144"/>
      <c r="O7" s="162"/>
      <c r="Q7" s="136"/>
      <c r="R7" s="168"/>
    </row>
    <row r="8" spans="2:18" ht="15">
      <c r="B8" s="136"/>
      <c r="C8" s="137" t="s">
        <v>102</v>
      </c>
      <c r="D8" s="139"/>
      <c r="E8" s="165"/>
      <c r="F8" s="165"/>
      <c r="G8" s="142"/>
      <c r="H8" s="139"/>
      <c r="I8" s="165"/>
      <c r="J8" s="165"/>
      <c r="K8" s="142"/>
      <c r="L8" s="139"/>
      <c r="M8" s="165"/>
      <c r="N8" s="165"/>
      <c r="O8" s="163"/>
      <c r="Q8" s="136"/>
      <c r="R8" s="168"/>
    </row>
    <row r="9" spans="2:18" ht="15">
      <c r="B9" s="136" t="s">
        <v>3</v>
      </c>
      <c r="C9" s="137"/>
      <c r="D9" s="140">
        <f>SUM($H$3:H9)</f>
        <v>300.55</v>
      </c>
      <c r="E9" s="164">
        <f>SUM($I$3:I9)</f>
        <v>3148</v>
      </c>
      <c r="F9" s="164">
        <f>SUM($J$3:J9)</f>
        <v>3131</v>
      </c>
      <c r="G9" s="143">
        <f>(E9/D9)/1000</f>
        <v>0.010474130760272832</v>
      </c>
      <c r="H9" s="140">
        <v>66.8</v>
      </c>
      <c r="I9" s="164">
        <v>544</v>
      </c>
      <c r="J9" s="164">
        <v>674</v>
      </c>
      <c r="K9" s="143">
        <f>(I9/H9)/1000</f>
        <v>0.0081437125748503</v>
      </c>
      <c r="L9" s="140">
        <f>SUM(H9:H13)</f>
        <v>219.8</v>
      </c>
      <c r="M9" s="164">
        <f>SUM(I9:I13)</f>
        <v>2829</v>
      </c>
      <c r="N9" s="164">
        <f>SUM(J9:J13)</f>
        <v>2728</v>
      </c>
      <c r="O9" s="161">
        <f>(M9/L9)/1000</f>
        <v>0.01287079162875341</v>
      </c>
      <c r="Q9" s="136" t="s">
        <v>136</v>
      </c>
      <c r="R9" s="168" t="s">
        <v>154</v>
      </c>
    </row>
    <row r="10" spans="2:18" ht="15">
      <c r="B10" s="136"/>
      <c r="C10" s="137" t="s">
        <v>103</v>
      </c>
      <c r="D10" s="138"/>
      <c r="E10" s="144"/>
      <c r="F10" s="144"/>
      <c r="G10" s="141"/>
      <c r="H10" s="138"/>
      <c r="I10" s="144"/>
      <c r="J10" s="144"/>
      <c r="K10" s="141"/>
      <c r="L10" s="138"/>
      <c r="M10" s="144"/>
      <c r="N10" s="144"/>
      <c r="O10" s="162"/>
      <c r="Q10" s="136"/>
      <c r="R10" s="168"/>
    </row>
    <row r="11" spans="2:18" ht="15">
      <c r="B11" s="136" t="s">
        <v>4</v>
      </c>
      <c r="C11" s="137"/>
      <c r="D11" s="138">
        <f>SUM($H$3:H11)</f>
        <v>362.55</v>
      </c>
      <c r="E11" s="144">
        <f>SUM($I$3:I11)</f>
        <v>3958</v>
      </c>
      <c r="F11" s="144">
        <f>SUM($J$3:J11)</f>
        <v>3766</v>
      </c>
      <c r="G11" s="141">
        <f>(E11/D11)/1000</f>
        <v>0.010917114880706109</v>
      </c>
      <c r="H11" s="138">
        <v>62</v>
      </c>
      <c r="I11" s="144">
        <v>810</v>
      </c>
      <c r="J11" s="144">
        <v>635</v>
      </c>
      <c r="K11" s="141">
        <f>(I11/H11)/1000</f>
        <v>0.013064516129032259</v>
      </c>
      <c r="L11" s="138"/>
      <c r="M11" s="144"/>
      <c r="N11" s="144"/>
      <c r="O11" s="162"/>
      <c r="Q11" s="136"/>
      <c r="R11" s="168"/>
    </row>
    <row r="12" spans="2:18" ht="15">
      <c r="B12" s="136"/>
      <c r="C12" s="137" t="s">
        <v>104</v>
      </c>
      <c r="D12" s="138"/>
      <c r="E12" s="144"/>
      <c r="F12" s="144"/>
      <c r="G12" s="141"/>
      <c r="H12" s="138"/>
      <c r="I12" s="144"/>
      <c r="J12" s="144"/>
      <c r="K12" s="141"/>
      <c r="L12" s="138"/>
      <c r="M12" s="144"/>
      <c r="N12" s="144"/>
      <c r="O12" s="162"/>
      <c r="Q12" s="136"/>
      <c r="R12" s="168"/>
    </row>
    <row r="13" spans="2:18" ht="15" customHeight="1">
      <c r="B13" s="136" t="s">
        <v>5</v>
      </c>
      <c r="C13" s="137"/>
      <c r="D13" s="113">
        <f>SUM($H$3:H13)</f>
        <v>453.55</v>
      </c>
      <c r="E13" s="100">
        <f>SUM($I$3:I13)</f>
        <v>5433</v>
      </c>
      <c r="F13" s="100">
        <f>SUM($J$3:J13)</f>
        <v>5185</v>
      </c>
      <c r="G13" s="109">
        <f>(E13/D13)/1000</f>
        <v>0.011978833645684049</v>
      </c>
      <c r="H13" s="107">
        <v>91</v>
      </c>
      <c r="I13" s="108">
        <v>1475</v>
      </c>
      <c r="J13" s="108">
        <v>1419</v>
      </c>
      <c r="K13" s="109">
        <f>(I13/H13)/1000</f>
        <v>0.016208791208791207</v>
      </c>
      <c r="L13" s="178"/>
      <c r="M13" s="173"/>
      <c r="N13" s="173"/>
      <c r="O13" s="172"/>
      <c r="Q13" s="136"/>
      <c r="R13" s="168"/>
    </row>
    <row r="14" spans="2:18" ht="15" customHeight="1">
      <c r="B14" s="136"/>
      <c r="C14" s="136" t="s">
        <v>105</v>
      </c>
      <c r="D14" s="114">
        <f>SUM($H$3:H14)</f>
        <v>478.65</v>
      </c>
      <c r="E14" s="115">
        <f>SUM($I$3:I14)</f>
        <v>6014</v>
      </c>
      <c r="F14" s="115">
        <f>SUM($J$3:J14)</f>
        <v>5609</v>
      </c>
      <c r="G14" s="112">
        <f>(E14/D14)/1000</f>
        <v>0.012564504335109162</v>
      </c>
      <c r="H14" s="110">
        <f>116.1-H13</f>
        <v>25.099999999999994</v>
      </c>
      <c r="I14" s="111">
        <f>2056-I13</f>
        <v>581</v>
      </c>
      <c r="J14" s="111">
        <f>1843-J13</f>
        <v>424</v>
      </c>
      <c r="K14" s="112">
        <f>(I14/H14)/1000</f>
        <v>0.023147410358565743</v>
      </c>
      <c r="L14" s="149">
        <f>SUM(H14:H19)</f>
        <v>221.6</v>
      </c>
      <c r="M14" s="152">
        <f>SUM(I14:I19)</f>
        <v>3229</v>
      </c>
      <c r="N14" s="152">
        <f>SUM(J14:J19)</f>
        <v>3116</v>
      </c>
      <c r="O14" s="169">
        <f>(M14/L14)/1000</f>
        <v>0.01457129963898917</v>
      </c>
      <c r="Q14" s="136" t="s">
        <v>144</v>
      </c>
      <c r="R14" s="148" t="s">
        <v>153</v>
      </c>
    </row>
    <row r="15" spans="2:18" ht="15">
      <c r="B15" s="136" t="s">
        <v>6</v>
      </c>
      <c r="C15" s="136"/>
      <c r="D15" s="138">
        <f>SUM($H$3:H15)</f>
        <v>583.55</v>
      </c>
      <c r="E15" s="144">
        <f>SUM($I$3:I15)</f>
        <v>7158</v>
      </c>
      <c r="F15" s="144">
        <f>SUM($J$3:J15)</f>
        <v>6997</v>
      </c>
      <c r="G15" s="141">
        <f>(E15/D15)/1000</f>
        <v>0.012266301088167253</v>
      </c>
      <c r="H15" s="138">
        <v>104.9</v>
      </c>
      <c r="I15" s="144">
        <v>1144</v>
      </c>
      <c r="J15" s="144">
        <v>1388</v>
      </c>
      <c r="K15" s="141">
        <f>(I15/H15)/1000</f>
        <v>0.01090562440419447</v>
      </c>
      <c r="L15" s="150"/>
      <c r="M15" s="153"/>
      <c r="N15" s="153"/>
      <c r="O15" s="170"/>
      <c r="Q15" s="136"/>
      <c r="R15" s="174"/>
    </row>
    <row r="16" spans="2:18" ht="15">
      <c r="B16" s="136"/>
      <c r="C16" s="136" t="s">
        <v>26</v>
      </c>
      <c r="D16" s="138"/>
      <c r="E16" s="144"/>
      <c r="F16" s="144"/>
      <c r="G16" s="141"/>
      <c r="H16" s="138"/>
      <c r="I16" s="144"/>
      <c r="J16" s="144"/>
      <c r="K16" s="141"/>
      <c r="L16" s="150"/>
      <c r="M16" s="153"/>
      <c r="N16" s="153"/>
      <c r="O16" s="170"/>
      <c r="Q16" s="136"/>
      <c r="R16" s="174"/>
    </row>
    <row r="17" spans="2:18" ht="15">
      <c r="B17" s="136" t="s">
        <v>7</v>
      </c>
      <c r="C17" s="136"/>
      <c r="D17" s="138">
        <f>SUM($H$3:H17)</f>
        <v>647.25</v>
      </c>
      <c r="E17" s="144">
        <f>SUM($I$3:I17)</f>
        <v>8240</v>
      </c>
      <c r="F17" s="144">
        <f>SUM($J$3:J17)</f>
        <v>7903</v>
      </c>
      <c r="G17" s="141">
        <f>(E17/D17)/1000</f>
        <v>0.012730784086519892</v>
      </c>
      <c r="H17" s="138">
        <v>63.7</v>
      </c>
      <c r="I17" s="144">
        <v>1082</v>
      </c>
      <c r="J17" s="144">
        <v>906</v>
      </c>
      <c r="K17" s="141">
        <f>(I17/H17)/1000</f>
        <v>0.016985871271585556</v>
      </c>
      <c r="L17" s="150"/>
      <c r="M17" s="153"/>
      <c r="N17" s="153"/>
      <c r="O17" s="170"/>
      <c r="Q17" s="136"/>
      <c r="R17" s="174"/>
    </row>
    <row r="18" spans="2:18" ht="15">
      <c r="B18" s="136"/>
      <c r="C18" s="136" t="s">
        <v>106</v>
      </c>
      <c r="D18" s="138"/>
      <c r="E18" s="144"/>
      <c r="F18" s="144"/>
      <c r="G18" s="141"/>
      <c r="H18" s="138"/>
      <c r="I18" s="144"/>
      <c r="J18" s="144"/>
      <c r="K18" s="141"/>
      <c r="L18" s="150"/>
      <c r="M18" s="153"/>
      <c r="N18" s="153"/>
      <c r="O18" s="170"/>
      <c r="Q18" s="136"/>
      <c r="R18" s="174"/>
    </row>
    <row r="19" spans="2:18" ht="15">
      <c r="B19" s="136" t="s">
        <v>8</v>
      </c>
      <c r="C19" s="136"/>
      <c r="D19" s="102">
        <f>SUM($H$3:H19)</f>
        <v>675.15</v>
      </c>
      <c r="E19" s="103">
        <f>SUM($I$3:I19)</f>
        <v>8662</v>
      </c>
      <c r="F19" s="103">
        <f>SUM($J$3:J19)</f>
        <v>8301</v>
      </c>
      <c r="G19" s="104">
        <f>(E19/D19)/1000</f>
        <v>0.012829741538917278</v>
      </c>
      <c r="H19" s="105">
        <v>27.9</v>
      </c>
      <c r="I19" s="106">
        <v>422</v>
      </c>
      <c r="J19" s="106">
        <v>398</v>
      </c>
      <c r="K19" s="104">
        <f>(I19/H19)/1000</f>
        <v>0.015125448028673836</v>
      </c>
      <c r="L19" s="151"/>
      <c r="M19" s="154"/>
      <c r="N19" s="154"/>
      <c r="O19" s="171"/>
      <c r="Q19" s="136"/>
      <c r="R19" s="167"/>
    </row>
    <row r="20" spans="2:18" ht="15">
      <c r="B20" s="136"/>
      <c r="C20" s="136" t="s">
        <v>107</v>
      </c>
      <c r="D20" s="114">
        <f>SUM($H$3:H20)</f>
        <v>707.55</v>
      </c>
      <c r="E20" s="115">
        <f>SUM($I$3:I20)</f>
        <v>9084</v>
      </c>
      <c r="F20" s="115">
        <f>SUM($J$3:J20)</f>
        <v>8857</v>
      </c>
      <c r="G20" s="112">
        <f>(E20/D20)/1000</f>
        <v>0.012838668645325419</v>
      </c>
      <c r="H20" s="110">
        <f>60.3-H19</f>
        <v>32.4</v>
      </c>
      <c r="I20" s="111">
        <f>844-I19</f>
        <v>422</v>
      </c>
      <c r="J20" s="111">
        <f>954-J19</f>
        <v>556</v>
      </c>
      <c r="K20" s="112">
        <f>(I20/H20)/1000</f>
        <v>0.013024691358024691</v>
      </c>
      <c r="L20" s="149">
        <f>SUM(H20:H25)</f>
        <v>190.89999999999998</v>
      </c>
      <c r="M20" s="152">
        <f>SUM(I20:I25)</f>
        <v>3240</v>
      </c>
      <c r="N20" s="152">
        <f>SUM(J20:J25)</f>
        <v>2873</v>
      </c>
      <c r="O20" s="169">
        <f>(M20/L20)/1000</f>
        <v>0.016972236773179678</v>
      </c>
      <c r="Q20" s="136" t="s">
        <v>145</v>
      </c>
      <c r="R20" s="168" t="s">
        <v>149</v>
      </c>
    </row>
    <row r="21" spans="2:18" ht="15">
      <c r="B21" s="136" t="s">
        <v>9</v>
      </c>
      <c r="C21" s="136"/>
      <c r="D21" s="138">
        <f>SUM($H$3:H21)</f>
        <v>785.55</v>
      </c>
      <c r="E21" s="144">
        <f>SUM($I$3:I21)</f>
        <v>10432</v>
      </c>
      <c r="F21" s="144">
        <f>SUM($J$3:J21)</f>
        <v>10183</v>
      </c>
      <c r="G21" s="141">
        <f>(E21/D21)/1000</f>
        <v>0.013279867608681816</v>
      </c>
      <c r="H21" s="138">
        <v>78</v>
      </c>
      <c r="I21" s="144">
        <v>1348</v>
      </c>
      <c r="J21" s="144">
        <v>1326</v>
      </c>
      <c r="K21" s="141">
        <f>(I21/H21)/1000</f>
        <v>0.01728205128205128</v>
      </c>
      <c r="L21" s="150"/>
      <c r="M21" s="153"/>
      <c r="N21" s="153"/>
      <c r="O21" s="170"/>
      <c r="Q21" s="136"/>
      <c r="R21" s="168"/>
    </row>
    <row r="22" spans="2:18" ht="15">
      <c r="B22" s="136"/>
      <c r="C22" s="136" t="s">
        <v>108</v>
      </c>
      <c r="D22" s="138"/>
      <c r="E22" s="144"/>
      <c r="F22" s="144"/>
      <c r="G22" s="141"/>
      <c r="H22" s="138"/>
      <c r="I22" s="144"/>
      <c r="J22" s="144"/>
      <c r="K22" s="141"/>
      <c r="L22" s="150"/>
      <c r="M22" s="153"/>
      <c r="N22" s="153"/>
      <c r="O22" s="170"/>
      <c r="Q22" s="136"/>
      <c r="R22" s="168"/>
    </row>
    <row r="23" spans="2:18" ht="15">
      <c r="B23" s="136" t="s">
        <v>10</v>
      </c>
      <c r="C23" s="136"/>
      <c r="D23" s="138">
        <f>SUM($H$3:H23)</f>
        <v>841.8499999999999</v>
      </c>
      <c r="E23" s="144">
        <f>SUM($I$3:I23)</f>
        <v>11726</v>
      </c>
      <c r="F23" s="144">
        <f>SUM($J$3:J23)</f>
        <v>10615</v>
      </c>
      <c r="G23" s="141">
        <f>(E23/D23)/1000</f>
        <v>0.013928847181801986</v>
      </c>
      <c r="H23" s="138">
        <v>56.3</v>
      </c>
      <c r="I23" s="144">
        <v>1294</v>
      </c>
      <c r="J23" s="144">
        <v>432</v>
      </c>
      <c r="K23" s="141">
        <f>(I23/H23)/1000</f>
        <v>0.022984014209591477</v>
      </c>
      <c r="L23" s="150"/>
      <c r="M23" s="153"/>
      <c r="N23" s="153"/>
      <c r="O23" s="170"/>
      <c r="Q23" s="136"/>
      <c r="R23" s="168"/>
    </row>
    <row r="24" spans="2:18" ht="15">
      <c r="B24" s="136"/>
      <c r="C24" s="136" t="s">
        <v>109</v>
      </c>
      <c r="D24" s="138"/>
      <c r="E24" s="144"/>
      <c r="F24" s="144"/>
      <c r="G24" s="141"/>
      <c r="H24" s="138"/>
      <c r="I24" s="144"/>
      <c r="J24" s="144"/>
      <c r="K24" s="141"/>
      <c r="L24" s="150"/>
      <c r="M24" s="153"/>
      <c r="N24" s="153"/>
      <c r="O24" s="170"/>
      <c r="Q24" s="136"/>
      <c r="R24" s="168"/>
    </row>
    <row r="25" spans="2:18" ht="15" customHeight="1">
      <c r="B25" s="136" t="s">
        <v>11</v>
      </c>
      <c r="C25" s="136"/>
      <c r="D25" s="102">
        <f>SUM($H$3:H25)</f>
        <v>866.05</v>
      </c>
      <c r="E25" s="103">
        <f>SUM($I$3:I25)</f>
        <v>11902</v>
      </c>
      <c r="F25" s="103">
        <f>SUM($J$3:J25)</f>
        <v>11174</v>
      </c>
      <c r="G25" s="104">
        <f>(E25/D25)/1000</f>
        <v>0.013742855493331794</v>
      </c>
      <c r="H25" s="105">
        <v>24.2</v>
      </c>
      <c r="I25" s="106">
        <v>176</v>
      </c>
      <c r="J25" s="106">
        <v>559</v>
      </c>
      <c r="K25" s="104">
        <f>(I25/H25)/1000</f>
        <v>0.007272727272727274</v>
      </c>
      <c r="L25" s="151"/>
      <c r="M25" s="154"/>
      <c r="N25" s="154"/>
      <c r="O25" s="171"/>
      <c r="Q25" s="136"/>
      <c r="R25" s="168"/>
    </row>
    <row r="26" spans="2:18" ht="15" customHeight="1">
      <c r="B26" s="136"/>
      <c r="C26" s="136" t="s">
        <v>110</v>
      </c>
      <c r="D26" s="114">
        <f>SUM($H$3:H26)</f>
        <v>900.75</v>
      </c>
      <c r="E26" s="115">
        <f>SUM($I$3:I26)</f>
        <v>12895</v>
      </c>
      <c r="F26" s="115">
        <f>SUM($J$3:J26)</f>
        <v>11888</v>
      </c>
      <c r="G26" s="112">
        <f>(E26/D26)/1000</f>
        <v>0.014315847904524007</v>
      </c>
      <c r="H26" s="110">
        <f>58.9-H25</f>
        <v>34.7</v>
      </c>
      <c r="I26" s="111">
        <f>1169-I25</f>
        <v>993</v>
      </c>
      <c r="J26" s="111">
        <f>1273-J25</f>
        <v>714</v>
      </c>
      <c r="K26" s="112">
        <f>(I26/H26)/1000</f>
        <v>0.028616714697406335</v>
      </c>
      <c r="L26" s="149">
        <f>SUM(H26:H30)</f>
        <v>169.20000000000002</v>
      </c>
      <c r="M26" s="152">
        <f>SUM(I26:I30)</f>
        <v>3246</v>
      </c>
      <c r="N26" s="152">
        <f>SUM(J26:J30)</f>
        <v>3676</v>
      </c>
      <c r="O26" s="169">
        <f>(M26/L26)/1000</f>
        <v>0.019184397163120565</v>
      </c>
      <c r="Q26" s="175" t="s">
        <v>112</v>
      </c>
      <c r="R26" s="168" t="s">
        <v>156</v>
      </c>
    </row>
    <row r="27" spans="2:18" ht="15">
      <c r="B27" s="136" t="s">
        <v>12</v>
      </c>
      <c r="C27" s="136"/>
      <c r="D27" s="138">
        <f>SUM($H$3:H27)</f>
        <v>959.35</v>
      </c>
      <c r="E27" s="144">
        <f>SUM($I$3:I27)</f>
        <v>14123</v>
      </c>
      <c r="F27" s="144">
        <f>SUM($J$3:J27)</f>
        <v>12923</v>
      </c>
      <c r="G27" s="141">
        <f>(E27/D27)/1000</f>
        <v>0.014721425965497472</v>
      </c>
      <c r="H27" s="138">
        <v>58.6</v>
      </c>
      <c r="I27" s="144">
        <v>1228</v>
      </c>
      <c r="J27" s="144">
        <v>1035</v>
      </c>
      <c r="K27" s="141">
        <f>(I27/H27)/1000</f>
        <v>0.020955631399317404</v>
      </c>
      <c r="L27" s="150"/>
      <c r="M27" s="153"/>
      <c r="N27" s="153"/>
      <c r="O27" s="170"/>
      <c r="Q27" s="176"/>
      <c r="R27" s="168"/>
    </row>
    <row r="28" spans="2:18" ht="15">
      <c r="B28" s="136"/>
      <c r="C28" s="136" t="s">
        <v>111</v>
      </c>
      <c r="D28" s="138"/>
      <c r="E28" s="144"/>
      <c r="F28" s="144"/>
      <c r="G28" s="141"/>
      <c r="H28" s="138"/>
      <c r="I28" s="144"/>
      <c r="J28" s="144"/>
      <c r="K28" s="141"/>
      <c r="L28" s="150"/>
      <c r="M28" s="153"/>
      <c r="N28" s="153"/>
      <c r="O28" s="170"/>
      <c r="Q28" s="176"/>
      <c r="R28" s="168"/>
    </row>
    <row r="29" spans="2:18" ht="15">
      <c r="B29" s="136" t="s">
        <v>13</v>
      </c>
      <c r="C29" s="136"/>
      <c r="D29" s="138">
        <f>SUM($H$3:H29)</f>
        <v>1035.25</v>
      </c>
      <c r="E29" s="144">
        <f>SUM($I$3:I29)</f>
        <v>15148</v>
      </c>
      <c r="F29" s="144">
        <f>SUM($J$3:J29)</f>
        <v>14850</v>
      </c>
      <c r="G29" s="141">
        <f>(E29/D29)/1000</f>
        <v>0.014632214440956292</v>
      </c>
      <c r="H29" s="138">
        <v>75.9</v>
      </c>
      <c r="I29" s="144">
        <v>1025</v>
      </c>
      <c r="J29" s="144">
        <v>1927</v>
      </c>
      <c r="K29" s="141">
        <f>(I29/H29)/1000</f>
        <v>0.013504611330698286</v>
      </c>
      <c r="L29" s="150"/>
      <c r="M29" s="153"/>
      <c r="N29" s="153"/>
      <c r="O29" s="170"/>
      <c r="Q29" s="176"/>
      <c r="R29" s="168"/>
    </row>
    <row r="30" spans="2:18" ht="15">
      <c r="B30" s="136"/>
      <c r="C30" s="136" t="s">
        <v>112</v>
      </c>
      <c r="D30" s="139"/>
      <c r="E30" s="165"/>
      <c r="F30" s="165"/>
      <c r="G30" s="142"/>
      <c r="H30" s="139"/>
      <c r="I30" s="165"/>
      <c r="J30" s="165"/>
      <c r="K30" s="142"/>
      <c r="L30" s="151"/>
      <c r="M30" s="154"/>
      <c r="N30" s="154"/>
      <c r="O30" s="171"/>
      <c r="Q30" s="177"/>
      <c r="R30" s="168"/>
    </row>
    <row r="31" spans="2:18" ht="15" customHeight="1">
      <c r="B31" s="136" t="s">
        <v>14</v>
      </c>
      <c r="C31" s="136"/>
      <c r="D31" s="140">
        <f>SUM($H$3:H31)</f>
        <v>1084.25</v>
      </c>
      <c r="E31" s="164">
        <f>SUM($I$3:I31)</f>
        <v>16099</v>
      </c>
      <c r="F31" s="164">
        <f>SUM($J$3:J31)</f>
        <v>15339</v>
      </c>
      <c r="G31" s="143">
        <f>(E31/D31)/1000</f>
        <v>0.014848051648605027</v>
      </c>
      <c r="H31" s="140">
        <v>49</v>
      </c>
      <c r="I31" s="164">
        <v>951</v>
      </c>
      <c r="J31" s="164">
        <v>489</v>
      </c>
      <c r="K31" s="143">
        <f>(I31/H31)/1000</f>
        <v>0.019408163265306123</v>
      </c>
      <c r="L31" s="149">
        <f>SUM(H31:H35)</f>
        <v>161.9</v>
      </c>
      <c r="M31" s="152">
        <f>SUM(I31:I35)</f>
        <v>3710</v>
      </c>
      <c r="N31" s="152">
        <f>SUM(J31:J35)</f>
        <v>3003</v>
      </c>
      <c r="O31" s="169">
        <f>(M31/L31)/1000</f>
        <v>0.02291537986411365</v>
      </c>
      <c r="Q31" s="155" t="s">
        <v>147</v>
      </c>
      <c r="R31" s="168" t="s">
        <v>157</v>
      </c>
    </row>
    <row r="32" spans="2:18" ht="15" customHeight="1">
      <c r="B32" s="136"/>
      <c r="C32" s="136" t="s">
        <v>79</v>
      </c>
      <c r="D32" s="138"/>
      <c r="E32" s="144"/>
      <c r="F32" s="144"/>
      <c r="G32" s="141"/>
      <c r="H32" s="138"/>
      <c r="I32" s="144"/>
      <c r="J32" s="144"/>
      <c r="K32" s="141"/>
      <c r="L32" s="150"/>
      <c r="M32" s="153"/>
      <c r="N32" s="153"/>
      <c r="O32" s="170"/>
      <c r="Q32" s="155"/>
      <c r="R32" s="168"/>
    </row>
    <row r="33" spans="2:18" ht="15">
      <c r="B33" s="136" t="s">
        <v>15</v>
      </c>
      <c r="C33" s="136"/>
      <c r="D33" s="138">
        <f>SUM($H$3:H33)</f>
        <v>1155.15</v>
      </c>
      <c r="E33" s="144">
        <f>SUM($I$3:I33)</f>
        <v>17537</v>
      </c>
      <c r="F33" s="144">
        <f>SUM($J$3:J33)</f>
        <v>16983</v>
      </c>
      <c r="G33" s="141">
        <f>(E33/D33)/1000</f>
        <v>0.015181578150023805</v>
      </c>
      <c r="H33" s="138">
        <v>70.9</v>
      </c>
      <c r="I33" s="144">
        <v>1438</v>
      </c>
      <c r="J33" s="144">
        <v>1644</v>
      </c>
      <c r="K33" s="141">
        <f>(I33/H33)/1000</f>
        <v>0.0202820874471086</v>
      </c>
      <c r="L33" s="150"/>
      <c r="M33" s="153"/>
      <c r="N33" s="153"/>
      <c r="O33" s="170"/>
      <c r="Q33" s="155"/>
      <c r="R33" s="168"/>
    </row>
    <row r="34" spans="2:18" ht="15">
      <c r="B34" s="136"/>
      <c r="C34" s="136" t="s">
        <v>113</v>
      </c>
      <c r="D34" s="138"/>
      <c r="E34" s="144"/>
      <c r="F34" s="144"/>
      <c r="G34" s="141"/>
      <c r="H34" s="138"/>
      <c r="I34" s="144"/>
      <c r="J34" s="144"/>
      <c r="K34" s="141"/>
      <c r="L34" s="150"/>
      <c r="M34" s="153"/>
      <c r="N34" s="153"/>
      <c r="O34" s="170"/>
      <c r="Q34" s="155"/>
      <c r="R34" s="168"/>
    </row>
    <row r="35" spans="2:18" ht="15">
      <c r="B35" s="136" t="s">
        <v>16</v>
      </c>
      <c r="C35" s="136"/>
      <c r="D35" s="102">
        <f>SUM($H$3:H35)</f>
        <v>1197.15</v>
      </c>
      <c r="E35" s="103">
        <f>SUM($I$3:I35)</f>
        <v>18858</v>
      </c>
      <c r="F35" s="103">
        <f>SUM($J$3:J35)</f>
        <v>17853</v>
      </c>
      <c r="G35" s="104">
        <f>(E35/D35)/1000</f>
        <v>0.015752411978448812</v>
      </c>
      <c r="H35" s="105">
        <v>42</v>
      </c>
      <c r="I35" s="106">
        <v>1321</v>
      </c>
      <c r="J35" s="106">
        <v>870</v>
      </c>
      <c r="K35" s="104">
        <f>(I35/H35)/1000</f>
        <v>0.031452380952380954</v>
      </c>
      <c r="L35" s="151"/>
      <c r="M35" s="154"/>
      <c r="N35" s="154"/>
      <c r="O35" s="171"/>
      <c r="Q35" s="155"/>
      <c r="R35" s="168"/>
    </row>
    <row r="36" spans="2:18" ht="15">
      <c r="B36" s="136"/>
      <c r="C36" s="136" t="s">
        <v>114</v>
      </c>
      <c r="D36" s="114">
        <f>SUM($H$3:H36)</f>
        <v>1248.8500000000001</v>
      </c>
      <c r="E36" s="115">
        <f>SUM($I$3:I36)</f>
        <v>19463</v>
      </c>
      <c r="F36" s="115">
        <f>SUM($J$3:J36)</f>
        <v>19350</v>
      </c>
      <c r="G36" s="112">
        <f>(E36/D36)/1000</f>
        <v>0.015584737958922207</v>
      </c>
      <c r="H36" s="110">
        <f>93.7-H35</f>
        <v>51.7</v>
      </c>
      <c r="I36" s="111">
        <f>1926-I35</f>
        <v>605</v>
      </c>
      <c r="J36" s="111">
        <f>2367-J35</f>
        <v>1497</v>
      </c>
      <c r="K36" s="112">
        <f>(I36/H36)/1000</f>
        <v>0.011702127659574468</v>
      </c>
      <c r="L36" s="149">
        <f>SUM(H36:H40)</f>
        <v>172</v>
      </c>
      <c r="M36" s="152">
        <f>SUM(I36:I40)</f>
        <v>2812</v>
      </c>
      <c r="N36" s="152">
        <f>SUM(J36:J40)</f>
        <v>3204</v>
      </c>
      <c r="O36" s="169">
        <f>(M36/L36)/1000</f>
        <v>0.016348837209302323</v>
      </c>
      <c r="Q36" s="155" t="s">
        <v>117</v>
      </c>
      <c r="R36" s="148" t="s">
        <v>150</v>
      </c>
    </row>
    <row r="37" spans="2:18" ht="15">
      <c r="B37" s="136" t="s">
        <v>17</v>
      </c>
      <c r="C37" s="136"/>
      <c r="D37" s="138">
        <f>SUM($H$3:H37)</f>
        <v>1283.65</v>
      </c>
      <c r="E37" s="144">
        <f>SUM($I$3:I37)</f>
        <v>20186</v>
      </c>
      <c r="F37" s="144">
        <f>SUM($J$3:J37)</f>
        <v>19623</v>
      </c>
      <c r="G37" s="141">
        <f>(E37/D37)/1000</f>
        <v>0.015725470338487903</v>
      </c>
      <c r="H37" s="138">
        <v>34.8</v>
      </c>
      <c r="I37" s="144">
        <v>723</v>
      </c>
      <c r="J37" s="144">
        <v>273</v>
      </c>
      <c r="K37" s="141">
        <f>(I37/H37)/1000</f>
        <v>0.02077586206896552</v>
      </c>
      <c r="L37" s="150"/>
      <c r="M37" s="153"/>
      <c r="N37" s="153"/>
      <c r="O37" s="170"/>
      <c r="Q37" s="155"/>
      <c r="R37" s="146"/>
    </row>
    <row r="38" spans="2:18" ht="15">
      <c r="B38" s="136"/>
      <c r="C38" s="136" t="s">
        <v>116</v>
      </c>
      <c r="D38" s="138"/>
      <c r="E38" s="144"/>
      <c r="F38" s="144"/>
      <c r="G38" s="141"/>
      <c r="H38" s="138"/>
      <c r="I38" s="144"/>
      <c r="J38" s="144"/>
      <c r="K38" s="141"/>
      <c r="L38" s="150"/>
      <c r="M38" s="153"/>
      <c r="N38" s="153"/>
      <c r="O38" s="170"/>
      <c r="Q38" s="155"/>
      <c r="R38" s="146"/>
    </row>
    <row r="39" spans="2:18" ht="15">
      <c r="B39" s="136" t="s">
        <v>18</v>
      </c>
      <c r="C39" s="136"/>
      <c r="D39" s="138">
        <f>SUM($H$3:H39)</f>
        <v>1369.15</v>
      </c>
      <c r="E39" s="144">
        <f>SUM($I$3:I39)</f>
        <v>21670</v>
      </c>
      <c r="F39" s="144">
        <f>SUM($J$3:J39)</f>
        <v>21057</v>
      </c>
      <c r="G39" s="141">
        <f>(E39/D39)/1000</f>
        <v>0.015827338129496403</v>
      </c>
      <c r="H39" s="138">
        <v>85.5</v>
      </c>
      <c r="I39" s="144">
        <v>1484</v>
      </c>
      <c r="J39" s="144">
        <v>1434</v>
      </c>
      <c r="K39" s="141">
        <f>(I39/H39)/1000</f>
        <v>0.01735672514619883</v>
      </c>
      <c r="L39" s="150"/>
      <c r="M39" s="153"/>
      <c r="N39" s="153"/>
      <c r="O39" s="170"/>
      <c r="Q39" s="155"/>
      <c r="R39" s="146"/>
    </row>
    <row r="40" spans="2:18" ht="15">
      <c r="B40" s="136"/>
      <c r="C40" s="136" t="s">
        <v>117</v>
      </c>
      <c r="D40" s="139"/>
      <c r="E40" s="165"/>
      <c r="F40" s="165"/>
      <c r="G40" s="142"/>
      <c r="H40" s="139"/>
      <c r="I40" s="165"/>
      <c r="J40" s="165"/>
      <c r="K40" s="142"/>
      <c r="L40" s="151"/>
      <c r="M40" s="154"/>
      <c r="N40" s="154"/>
      <c r="O40" s="171"/>
      <c r="Q40" s="155"/>
      <c r="R40" s="147"/>
    </row>
    <row r="41" spans="2:18" ht="15" customHeight="1">
      <c r="B41" s="136" t="s">
        <v>19</v>
      </c>
      <c r="C41" s="136"/>
      <c r="D41" s="140">
        <f>SUM($H$3:H41)</f>
        <v>1441.8500000000001</v>
      </c>
      <c r="E41" s="164">
        <f>SUM($I$3:I41)</f>
        <v>22952</v>
      </c>
      <c r="F41" s="164">
        <f>SUM($J$3:J41)</f>
        <v>22319</v>
      </c>
      <c r="G41" s="143">
        <f>(E41/D41)/1000</f>
        <v>0.015918438117696016</v>
      </c>
      <c r="H41" s="140">
        <v>72.7</v>
      </c>
      <c r="I41" s="164">
        <v>1282</v>
      </c>
      <c r="J41" s="164">
        <v>1262</v>
      </c>
      <c r="K41" s="143">
        <f>(I41/H41)/1000</f>
        <v>0.01763411279229711</v>
      </c>
      <c r="L41" s="149">
        <f>SUM(H41:H45)</f>
        <v>196</v>
      </c>
      <c r="M41" s="152">
        <f>SUM(I41:I45)</f>
        <v>3037</v>
      </c>
      <c r="N41" s="152">
        <f>SUM(J41:J45)</f>
        <v>3592</v>
      </c>
      <c r="O41" s="169">
        <f>(M41/L41)/1000</f>
        <v>0.015494897959183672</v>
      </c>
      <c r="Q41" s="136" t="s">
        <v>137</v>
      </c>
      <c r="R41" s="148" t="s">
        <v>158</v>
      </c>
    </row>
    <row r="42" spans="2:18" ht="15" customHeight="1">
      <c r="B42" s="136"/>
      <c r="C42" s="136" t="s">
        <v>118</v>
      </c>
      <c r="D42" s="138"/>
      <c r="E42" s="144"/>
      <c r="F42" s="144"/>
      <c r="G42" s="141"/>
      <c r="H42" s="138"/>
      <c r="I42" s="144"/>
      <c r="J42" s="144"/>
      <c r="K42" s="141"/>
      <c r="L42" s="150"/>
      <c r="M42" s="153"/>
      <c r="N42" s="153"/>
      <c r="O42" s="170"/>
      <c r="Q42" s="136"/>
      <c r="R42" s="146"/>
    </row>
    <row r="43" spans="2:18" ht="15">
      <c r="B43" s="136" t="s">
        <v>20</v>
      </c>
      <c r="C43" s="136"/>
      <c r="D43" s="138">
        <f>SUM($H$3:H43)</f>
        <v>1540.15</v>
      </c>
      <c r="E43" s="144">
        <f>SUM($I$3:I43)</f>
        <v>24352</v>
      </c>
      <c r="F43" s="144">
        <f>SUM($J$3:J43)</f>
        <v>23990</v>
      </c>
      <c r="G43" s="141">
        <f>(E43/D43)/1000</f>
        <v>0.015811446936986655</v>
      </c>
      <c r="H43" s="138">
        <v>98.3</v>
      </c>
      <c r="I43" s="144">
        <v>1400</v>
      </c>
      <c r="J43" s="144">
        <v>1671</v>
      </c>
      <c r="K43" s="141">
        <f>(I43/H43)/1000</f>
        <v>0.014242115971515769</v>
      </c>
      <c r="L43" s="150"/>
      <c r="M43" s="153"/>
      <c r="N43" s="153"/>
      <c r="O43" s="170"/>
      <c r="Q43" s="136"/>
      <c r="R43" s="146"/>
    </row>
    <row r="44" spans="2:18" ht="15">
      <c r="B44" s="136"/>
      <c r="C44" s="136" t="s">
        <v>132</v>
      </c>
      <c r="D44" s="138"/>
      <c r="E44" s="144"/>
      <c r="F44" s="144"/>
      <c r="G44" s="141"/>
      <c r="H44" s="138"/>
      <c r="I44" s="144"/>
      <c r="J44" s="144"/>
      <c r="K44" s="141"/>
      <c r="L44" s="150"/>
      <c r="M44" s="153"/>
      <c r="N44" s="153"/>
      <c r="O44" s="170"/>
      <c r="Q44" s="136"/>
      <c r="R44" s="146"/>
    </row>
    <row r="45" spans="2:18" ht="15">
      <c r="B45" s="136" t="s">
        <v>21</v>
      </c>
      <c r="C45" s="136"/>
      <c r="D45" s="102">
        <f>SUM($H$3:H45)</f>
        <v>1565.15</v>
      </c>
      <c r="E45" s="103">
        <f>SUM($I$3:I45)</f>
        <v>24707</v>
      </c>
      <c r="F45" s="103">
        <f>SUM($J$3:J45)</f>
        <v>24649</v>
      </c>
      <c r="G45" s="104">
        <f>(E45/D45)/1000</f>
        <v>0.01578570744018145</v>
      </c>
      <c r="H45" s="105">
        <v>25</v>
      </c>
      <c r="I45" s="106">
        <v>355</v>
      </c>
      <c r="J45" s="106">
        <v>659</v>
      </c>
      <c r="K45" s="104">
        <f>(I45/H45)/1000</f>
        <v>0.014199999999999999</v>
      </c>
      <c r="L45" s="151"/>
      <c r="M45" s="154"/>
      <c r="N45" s="154"/>
      <c r="O45" s="171"/>
      <c r="Q45" s="136"/>
      <c r="R45" s="147"/>
    </row>
    <row r="46" spans="2:18" ht="15">
      <c r="B46" s="136"/>
      <c r="C46" s="136" t="s">
        <v>120</v>
      </c>
      <c r="D46" s="114">
        <f>SUM($H$3:H46)</f>
        <v>1587.45</v>
      </c>
      <c r="E46" s="115">
        <f>SUM($I$3:I46)</f>
        <v>25168</v>
      </c>
      <c r="F46" s="115">
        <f>SUM($J$3:J46)</f>
        <v>24770</v>
      </c>
      <c r="G46" s="112">
        <f>(E46/D46)/1000</f>
        <v>0.015854357617562757</v>
      </c>
      <c r="H46" s="110">
        <f>47.3-H45</f>
        <v>22.299999999999997</v>
      </c>
      <c r="I46" s="111">
        <f>816-I45</f>
        <v>461</v>
      </c>
      <c r="J46" s="111">
        <f>780-J45</f>
        <v>121</v>
      </c>
      <c r="K46" s="112">
        <f>(I46/H46)/1000</f>
        <v>0.020672645739910317</v>
      </c>
      <c r="L46" s="149">
        <f>SUM(H46:H50)</f>
        <v>160.7</v>
      </c>
      <c r="M46" s="152">
        <f>SUM(I46:I50)</f>
        <v>4168</v>
      </c>
      <c r="N46" s="152">
        <f>SUM(J46:J50)</f>
        <v>3786</v>
      </c>
      <c r="O46" s="169">
        <f>(M46/L46)/1000</f>
        <v>0.025936527691350346</v>
      </c>
      <c r="Q46" s="155" t="s">
        <v>80</v>
      </c>
      <c r="R46" s="145" t="s">
        <v>151</v>
      </c>
    </row>
    <row r="47" spans="2:18" ht="15">
      <c r="B47" s="136" t="s">
        <v>22</v>
      </c>
      <c r="C47" s="136"/>
      <c r="D47" s="138">
        <f>SUM($H$3:H47)</f>
        <v>1647.25</v>
      </c>
      <c r="E47" s="144">
        <f>SUM($I$3:I47)</f>
        <v>26747</v>
      </c>
      <c r="F47" s="144">
        <f>SUM($J$3:J47)</f>
        <v>25951</v>
      </c>
      <c r="G47" s="141">
        <f>(E47/D47)/1000</f>
        <v>0.01623736530581272</v>
      </c>
      <c r="H47" s="138">
        <v>59.8</v>
      </c>
      <c r="I47" s="144">
        <v>1579</v>
      </c>
      <c r="J47" s="144">
        <v>1181</v>
      </c>
      <c r="K47" s="141">
        <f>(I47/H47)/1000</f>
        <v>0.02640468227424749</v>
      </c>
      <c r="L47" s="150"/>
      <c r="M47" s="153"/>
      <c r="N47" s="153"/>
      <c r="O47" s="170"/>
      <c r="Q47" s="155"/>
      <c r="R47" s="146"/>
    </row>
    <row r="48" spans="2:18" ht="15">
      <c r="B48" s="136"/>
      <c r="C48" s="136" t="s">
        <v>121</v>
      </c>
      <c r="D48" s="138"/>
      <c r="E48" s="144"/>
      <c r="F48" s="144"/>
      <c r="G48" s="141"/>
      <c r="H48" s="138"/>
      <c r="I48" s="144"/>
      <c r="J48" s="144"/>
      <c r="K48" s="141"/>
      <c r="L48" s="150"/>
      <c r="M48" s="153"/>
      <c r="N48" s="153"/>
      <c r="O48" s="170"/>
      <c r="Q48" s="155"/>
      <c r="R48" s="146"/>
    </row>
    <row r="49" spans="2:18" ht="15">
      <c r="B49" s="136" t="s">
        <v>23</v>
      </c>
      <c r="C49" s="136"/>
      <c r="D49" s="138">
        <f>SUM($H$3:H49)</f>
        <v>1725.85</v>
      </c>
      <c r="E49" s="144">
        <f>SUM($I$3:I49)</f>
        <v>28875</v>
      </c>
      <c r="F49" s="144">
        <f>SUM($J$3:J49)</f>
        <v>28435</v>
      </c>
      <c r="G49" s="141">
        <f>(E49/D49)/1000</f>
        <v>0.016730886229973638</v>
      </c>
      <c r="H49" s="138">
        <v>78.6</v>
      </c>
      <c r="I49" s="144">
        <v>2128</v>
      </c>
      <c r="J49" s="144">
        <v>2484</v>
      </c>
      <c r="K49" s="141">
        <f>(I49/H49)/1000</f>
        <v>0.027073791348600513</v>
      </c>
      <c r="L49" s="150"/>
      <c r="M49" s="153"/>
      <c r="N49" s="153"/>
      <c r="O49" s="170"/>
      <c r="Q49" s="155"/>
      <c r="R49" s="146"/>
    </row>
    <row r="50" spans="2:18" ht="15">
      <c r="B50" s="136"/>
      <c r="C50" s="98" t="s">
        <v>80</v>
      </c>
      <c r="D50" s="139"/>
      <c r="E50" s="165"/>
      <c r="F50" s="165"/>
      <c r="G50" s="142"/>
      <c r="H50" s="139"/>
      <c r="I50" s="165"/>
      <c r="J50" s="165"/>
      <c r="K50" s="142"/>
      <c r="L50" s="151"/>
      <c r="M50" s="154"/>
      <c r="N50" s="154"/>
      <c r="O50" s="171"/>
      <c r="Q50" s="155"/>
      <c r="R50" s="147"/>
    </row>
  </sheetData>
  <sheetProtection/>
  <mergeCells count="258">
    <mergeCell ref="H39:H40"/>
    <mergeCell ref="H41:H42"/>
    <mergeCell ref="H43:H44"/>
    <mergeCell ref="L3:L8"/>
    <mergeCell ref="M3:M8"/>
    <mergeCell ref="N3:N8"/>
    <mergeCell ref="L9:L13"/>
    <mergeCell ref="M9:M13"/>
    <mergeCell ref="K11:K12"/>
    <mergeCell ref="I37:I38"/>
    <mergeCell ref="R26:R30"/>
    <mergeCell ref="Q26:Q30"/>
    <mergeCell ref="H3:H4"/>
    <mergeCell ref="H5:H6"/>
    <mergeCell ref="H7:H8"/>
    <mergeCell ref="H49:H50"/>
    <mergeCell ref="H47:H48"/>
    <mergeCell ref="Q9:Q13"/>
    <mergeCell ref="R9:R13"/>
    <mergeCell ref="Q14:Q19"/>
    <mergeCell ref="Q20:Q25"/>
    <mergeCell ref="R20:R25"/>
    <mergeCell ref="R14:R19"/>
    <mergeCell ref="I47:I48"/>
    <mergeCell ref="J47:J48"/>
    <mergeCell ref="I33:I34"/>
    <mergeCell ref="J33:J34"/>
    <mergeCell ref="Q46:Q50"/>
    <mergeCell ref="O41:O45"/>
    <mergeCell ref="O46:O50"/>
    <mergeCell ref="I49:I50"/>
    <mergeCell ref="J49:J50"/>
    <mergeCell ref="I39:I40"/>
    <mergeCell ref="J39:J40"/>
    <mergeCell ref="I41:I42"/>
    <mergeCell ref="J41:J42"/>
    <mergeCell ref="I43:I44"/>
    <mergeCell ref="J43:J44"/>
    <mergeCell ref="J37:J38"/>
    <mergeCell ref="I27:I28"/>
    <mergeCell ref="J27:J28"/>
    <mergeCell ref="I29:I30"/>
    <mergeCell ref="J29:J30"/>
    <mergeCell ref="I31:I32"/>
    <mergeCell ref="J31:J32"/>
    <mergeCell ref="R31:R35"/>
    <mergeCell ref="L36:L40"/>
    <mergeCell ref="M36:M40"/>
    <mergeCell ref="N36:N40"/>
    <mergeCell ref="Q36:Q40"/>
    <mergeCell ref="O36:O40"/>
    <mergeCell ref="D3:D4"/>
    <mergeCell ref="N14:N19"/>
    <mergeCell ref="M14:M19"/>
    <mergeCell ref="L14:L19"/>
    <mergeCell ref="I9:I10"/>
    <mergeCell ref="F9:F10"/>
    <mergeCell ref="F11:F12"/>
    <mergeCell ref="F15:F16"/>
    <mergeCell ref="F17:F18"/>
    <mergeCell ref="E3:E4"/>
    <mergeCell ref="E41:E42"/>
    <mergeCell ref="E21:E22"/>
    <mergeCell ref="G21:G22"/>
    <mergeCell ref="I15:I16"/>
    <mergeCell ref="J15:J16"/>
    <mergeCell ref="I17:I18"/>
    <mergeCell ref="J17:J18"/>
    <mergeCell ref="I21:I22"/>
    <mergeCell ref="J21:J22"/>
    <mergeCell ref="I23:I24"/>
    <mergeCell ref="E49:E50"/>
    <mergeCell ref="I3:I4"/>
    <mergeCell ref="J3:J4"/>
    <mergeCell ref="I5:I6"/>
    <mergeCell ref="J5:J6"/>
    <mergeCell ref="I7:I8"/>
    <mergeCell ref="J7:J8"/>
    <mergeCell ref="E31:E32"/>
    <mergeCell ref="E33:E34"/>
    <mergeCell ref="G3:G4"/>
    <mergeCell ref="E27:E28"/>
    <mergeCell ref="E29:E30"/>
    <mergeCell ref="F47:F48"/>
    <mergeCell ref="F39:F40"/>
    <mergeCell ref="F41:F42"/>
    <mergeCell ref="F43:F44"/>
    <mergeCell ref="E43:E44"/>
    <mergeCell ref="E47:E48"/>
    <mergeCell ref="E37:E38"/>
    <mergeCell ref="E39:E40"/>
    <mergeCell ref="F49:F50"/>
    <mergeCell ref="E5:E6"/>
    <mergeCell ref="E7:E8"/>
    <mergeCell ref="E9:E10"/>
    <mergeCell ref="E11:E12"/>
    <mergeCell ref="E15:E16"/>
    <mergeCell ref="E17:E18"/>
    <mergeCell ref="F33:F34"/>
    <mergeCell ref="F37:F38"/>
    <mergeCell ref="E23:E24"/>
    <mergeCell ref="F23:F24"/>
    <mergeCell ref="F27:F28"/>
    <mergeCell ref="F29:F30"/>
    <mergeCell ref="F31:F32"/>
    <mergeCell ref="Q31:Q35"/>
    <mergeCell ref="O31:O35"/>
    <mergeCell ref="O26:O30"/>
    <mergeCell ref="O20:O25"/>
    <mergeCell ref="K29:K30"/>
    <mergeCell ref="J23:J24"/>
    <mergeCell ref="Q3:Q8"/>
    <mergeCell ref="R3:R8"/>
    <mergeCell ref="O14:O19"/>
    <mergeCell ref="O9:O13"/>
    <mergeCell ref="K7:K8"/>
    <mergeCell ref="K9:K10"/>
    <mergeCell ref="K15:K16"/>
    <mergeCell ref="K17:K18"/>
    <mergeCell ref="N9:N13"/>
    <mergeCell ref="F3:F4"/>
    <mergeCell ref="F5:F6"/>
    <mergeCell ref="F7:F8"/>
    <mergeCell ref="B39:B40"/>
    <mergeCell ref="B41:B42"/>
    <mergeCell ref="B15:B16"/>
    <mergeCell ref="B17:B18"/>
    <mergeCell ref="B19:B20"/>
    <mergeCell ref="B21:B22"/>
    <mergeCell ref="B23:B24"/>
    <mergeCell ref="B43:B44"/>
    <mergeCell ref="B45:B46"/>
    <mergeCell ref="B47:B48"/>
    <mergeCell ref="B49:B50"/>
    <mergeCell ref="B27:B28"/>
    <mergeCell ref="B29:B30"/>
    <mergeCell ref="B31:B32"/>
    <mergeCell ref="B33:B34"/>
    <mergeCell ref="B35:B36"/>
    <mergeCell ref="B37:B38"/>
    <mergeCell ref="B25:B26"/>
    <mergeCell ref="B3:B4"/>
    <mergeCell ref="B5:B6"/>
    <mergeCell ref="B7:B8"/>
    <mergeCell ref="B9:B10"/>
    <mergeCell ref="B11:B12"/>
    <mergeCell ref="B13:B14"/>
    <mergeCell ref="H9:H10"/>
    <mergeCell ref="H11:H12"/>
    <mergeCell ref="H29:H30"/>
    <mergeCell ref="H31:H32"/>
    <mergeCell ref="H33:H34"/>
    <mergeCell ref="O3:O8"/>
    <mergeCell ref="K5:K6"/>
    <mergeCell ref="J9:J10"/>
    <mergeCell ref="I11:I12"/>
    <mergeCell ref="J11:J12"/>
    <mergeCell ref="R1:R2"/>
    <mergeCell ref="N26:N30"/>
    <mergeCell ref="L1:O1"/>
    <mergeCell ref="D1:G1"/>
    <mergeCell ref="H1:K1"/>
    <mergeCell ref="D5:D6"/>
    <mergeCell ref="K3:K4"/>
    <mergeCell ref="Q1:Q2"/>
    <mergeCell ref="H17:H18"/>
    <mergeCell ref="H15:H16"/>
    <mergeCell ref="L20:L25"/>
    <mergeCell ref="M20:M25"/>
    <mergeCell ref="N20:N25"/>
    <mergeCell ref="L26:L30"/>
    <mergeCell ref="M26:M30"/>
    <mergeCell ref="N31:N35"/>
    <mergeCell ref="M31:M35"/>
    <mergeCell ref="L31:L35"/>
    <mergeCell ref="Q41:Q45"/>
    <mergeCell ref="R46:R50"/>
    <mergeCell ref="R41:R45"/>
    <mergeCell ref="R36:R40"/>
    <mergeCell ref="L41:L45"/>
    <mergeCell ref="M41:M45"/>
    <mergeCell ref="N41:N45"/>
    <mergeCell ref="L46:L50"/>
    <mergeCell ref="M46:M50"/>
    <mergeCell ref="N46:N50"/>
    <mergeCell ref="K21:K22"/>
    <mergeCell ref="K23:K24"/>
    <mergeCell ref="C30:C31"/>
    <mergeCell ref="C32:C33"/>
    <mergeCell ref="K27:K28"/>
    <mergeCell ref="H21:H22"/>
    <mergeCell ref="H23:H24"/>
    <mergeCell ref="H27:H28"/>
    <mergeCell ref="G23:G24"/>
    <mergeCell ref="G27:G28"/>
    <mergeCell ref="K37:K38"/>
    <mergeCell ref="K39:K40"/>
    <mergeCell ref="K41:K42"/>
    <mergeCell ref="C20:C21"/>
    <mergeCell ref="C22:C23"/>
    <mergeCell ref="C24:C25"/>
    <mergeCell ref="C26:C27"/>
    <mergeCell ref="C28:C29"/>
    <mergeCell ref="H37:H38"/>
    <mergeCell ref="F21:F22"/>
    <mergeCell ref="K43:K44"/>
    <mergeCell ref="K47:K48"/>
    <mergeCell ref="K49:K50"/>
    <mergeCell ref="D7:D8"/>
    <mergeCell ref="D11:D12"/>
    <mergeCell ref="D9:D10"/>
    <mergeCell ref="D15:D16"/>
    <mergeCell ref="D17:D18"/>
    <mergeCell ref="K31:K32"/>
    <mergeCell ref="K33:K34"/>
    <mergeCell ref="G5:G6"/>
    <mergeCell ref="G7:G8"/>
    <mergeCell ref="G9:G10"/>
    <mergeCell ref="G11:G12"/>
    <mergeCell ref="G15:G16"/>
    <mergeCell ref="G17:G18"/>
    <mergeCell ref="G29:G30"/>
    <mergeCell ref="G31:G32"/>
    <mergeCell ref="G33:G34"/>
    <mergeCell ref="G37:G38"/>
    <mergeCell ref="G39:G40"/>
    <mergeCell ref="G41:G42"/>
    <mergeCell ref="G43:G44"/>
    <mergeCell ref="G47:G48"/>
    <mergeCell ref="G49:G50"/>
    <mergeCell ref="D21:D22"/>
    <mergeCell ref="D33:D34"/>
    <mergeCell ref="D31:D32"/>
    <mergeCell ref="D29:D30"/>
    <mergeCell ref="D27:D28"/>
    <mergeCell ref="D23:D24"/>
    <mergeCell ref="D37:D38"/>
    <mergeCell ref="D39:D40"/>
    <mergeCell ref="D41:D42"/>
    <mergeCell ref="D43:D44"/>
    <mergeCell ref="D47:D48"/>
    <mergeCell ref="D49:D50"/>
    <mergeCell ref="C48:C49"/>
    <mergeCell ref="C42:C43"/>
    <mergeCell ref="C46:C47"/>
    <mergeCell ref="C44:C45"/>
    <mergeCell ref="C4:C5"/>
    <mergeCell ref="C6:C7"/>
    <mergeCell ref="C8:C9"/>
    <mergeCell ref="C10:C11"/>
    <mergeCell ref="C12:C13"/>
    <mergeCell ref="C14:C15"/>
    <mergeCell ref="C16:C17"/>
    <mergeCell ref="C18:C19"/>
    <mergeCell ref="C34:C35"/>
    <mergeCell ref="C36:C37"/>
    <mergeCell ref="C38:C39"/>
    <mergeCell ref="C40:C41"/>
  </mergeCells>
  <conditionalFormatting sqref="O3:O50">
    <cfRule type="aboveAverage" priority="3" dxfId="15" stopIfTrue="1" aboveAverage="0">
      <formula>O3&lt;AVERAGE(IF(ISERROR($O$3:$O$50),"",IF(ISBLANK($O$3:$O$50),"",$O$3:$O$50)))</formula>
    </cfRule>
    <cfRule type="aboveAverage" priority="4" dxfId="18" stopIfTrue="1">
      <formula>O3&gt;AVERAGE(IF(ISERROR($O$3:$O$50),"",IF(ISBLANK($O$3:$O$50),"",$O$3:$O$50)))</formula>
    </cfRule>
  </conditionalFormatting>
  <conditionalFormatting sqref="K3:K50">
    <cfRule type="aboveAverage" priority="1" dxfId="15" stopIfTrue="1" aboveAverage="0">
      <formula>K3&lt;AVERAGE(IF(ISERROR($K$3:$K$50),"",IF(ISBLANK($K$3:$K$50),"",$K$3:$K$50)))</formula>
    </cfRule>
    <cfRule type="aboveAverage" priority="2" dxfId="18" stopIfTrue="1">
      <formula>K3&gt;AVERAGE(IF(ISERROR($K$3:$K$50),"",IF(ISBLANK($K$3:$K$50),"",$K$3:$K$50)))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zoomScalePageLayoutView="0" workbookViewId="0" topLeftCell="A5">
      <pane xSplit="2" topLeftCell="C1" activePane="topRight" state="frozen"/>
      <selection pane="topLeft" activeCell="A1" sqref="A1"/>
      <selection pane="topRight" activeCell="H38" sqref="H38"/>
    </sheetView>
  </sheetViews>
  <sheetFormatPr defaultColWidth="11.421875" defaultRowHeight="15"/>
  <cols>
    <col min="1" max="1" width="1.421875" style="0" customWidth="1"/>
    <col min="2" max="2" width="8.421875" style="21" bestFit="1" customWidth="1"/>
    <col min="3" max="3" width="10.7109375" style="21" bestFit="1" customWidth="1"/>
    <col min="4" max="5" width="8.140625" style="21" bestFit="1" customWidth="1"/>
    <col min="6" max="6" width="7.140625" style="21" bestFit="1" customWidth="1"/>
    <col min="7" max="7" width="1.421875" style="0" customWidth="1"/>
    <col min="8" max="8" width="67.57421875" style="55" customWidth="1"/>
    <col min="9" max="9" width="1.57421875" style="55" customWidth="1"/>
    <col min="10" max="12" width="11.421875" style="21" customWidth="1"/>
    <col min="13" max="13" width="1.421875" style="21" customWidth="1"/>
    <col min="14" max="14" width="11.421875" style="21" customWidth="1"/>
    <col min="15" max="15" width="7.140625" style="21" bestFit="1" customWidth="1"/>
    <col min="16" max="16" width="7.140625" style="60" bestFit="1" customWidth="1"/>
    <col min="17" max="17" width="1.421875" style="60" customWidth="1"/>
    <col min="18" max="18" width="7.140625" style="76" customWidth="1"/>
    <col min="19" max="19" width="1.421875" style="60" customWidth="1"/>
    <col min="20" max="20" width="21.00390625" style="21" bestFit="1" customWidth="1"/>
  </cols>
  <sheetData>
    <row r="1" spans="10:18" ht="15">
      <c r="J1" s="185"/>
      <c r="K1" s="185"/>
      <c r="L1" s="185"/>
      <c r="M1" s="58"/>
      <c r="N1" s="58"/>
      <c r="O1" s="58"/>
      <c r="P1" s="59"/>
      <c r="Q1" s="59"/>
      <c r="R1" s="61"/>
    </row>
    <row r="2" spans="8:20" ht="45.75" thickBot="1">
      <c r="H2" s="56" t="s">
        <v>92</v>
      </c>
      <c r="J2" s="62">
        <v>38</v>
      </c>
      <c r="K2" s="63">
        <f aca="true" t="shared" si="0" ref="K2:K37">IF(J1&gt;0,C2-J1,C2)</f>
        <v>0</v>
      </c>
      <c r="L2" s="64">
        <f>+SUM(J2:K2)</f>
        <v>38</v>
      </c>
      <c r="M2" s="58"/>
      <c r="N2" s="204">
        <v>452</v>
      </c>
      <c r="O2" s="74">
        <f>IF(N1&gt;0,D2-N1,D2)</f>
        <v>0</v>
      </c>
      <c r="P2" s="75">
        <f>+SUM(N2:O2)</f>
        <v>452</v>
      </c>
      <c r="Q2" s="59"/>
      <c r="R2" s="77">
        <f>(P2/L2)/1000</f>
        <v>0.011894736842105263</v>
      </c>
      <c r="T2" s="57">
        <v>43201</v>
      </c>
    </row>
    <row r="3" spans="2:20" ht="15">
      <c r="B3" s="34" t="s">
        <v>0</v>
      </c>
      <c r="C3" s="35">
        <v>68.33</v>
      </c>
      <c r="D3" s="36">
        <v>950</v>
      </c>
      <c r="E3" s="37">
        <v>779</v>
      </c>
      <c r="F3" s="38">
        <f aca="true" t="shared" si="1" ref="F3:F37">(D3/(C3*1000))</f>
        <v>0.013903117225230499</v>
      </c>
      <c r="H3" s="191" t="s">
        <v>91</v>
      </c>
      <c r="J3" s="65"/>
      <c r="K3" s="66">
        <f t="shared" si="0"/>
        <v>30.33</v>
      </c>
      <c r="L3" s="186">
        <f>SUM(J3:K6)</f>
        <v>202.42000000000002</v>
      </c>
      <c r="M3" s="58"/>
      <c r="N3" s="205"/>
      <c r="O3" s="71">
        <f aca="true" t="shared" si="2" ref="O3:O37">IF(N2&gt;0,D3-N2,D3)</f>
        <v>498</v>
      </c>
      <c r="P3" s="181">
        <f>SUM(N3:O6)</f>
        <v>2110</v>
      </c>
      <c r="Q3" s="59"/>
      <c r="R3" s="184">
        <f>(P3/L3)/1000</f>
        <v>0.010423871158976384</v>
      </c>
      <c r="T3" s="189">
        <v>43202</v>
      </c>
    </row>
    <row r="4" spans="2:20" ht="15">
      <c r="B4" s="39" t="s">
        <v>1</v>
      </c>
      <c r="C4" s="40">
        <v>81.55</v>
      </c>
      <c r="D4" s="26">
        <v>868</v>
      </c>
      <c r="E4" s="41">
        <v>1094</v>
      </c>
      <c r="F4" s="42">
        <f t="shared" si="1"/>
        <v>0.010643776824034334</v>
      </c>
      <c r="H4" s="192"/>
      <c r="J4" s="67"/>
      <c r="K4" s="68">
        <f t="shared" si="0"/>
        <v>81.55</v>
      </c>
      <c r="L4" s="187"/>
      <c r="M4" s="58"/>
      <c r="N4" s="206"/>
      <c r="O4" s="72">
        <f t="shared" si="2"/>
        <v>868</v>
      </c>
      <c r="P4" s="182"/>
      <c r="Q4" s="59"/>
      <c r="R4" s="184"/>
      <c r="T4" s="189"/>
    </row>
    <row r="5" spans="2:20" ht="15" customHeight="1">
      <c r="B5" s="39" t="s">
        <v>2</v>
      </c>
      <c r="C5" s="40">
        <v>79.04</v>
      </c>
      <c r="D5" s="26">
        <v>708</v>
      </c>
      <c r="E5" s="41">
        <v>507</v>
      </c>
      <c r="F5" s="42">
        <f t="shared" si="1"/>
        <v>0.00895748987854251</v>
      </c>
      <c r="H5" s="192"/>
      <c r="J5" s="67"/>
      <c r="K5" s="68">
        <f t="shared" si="0"/>
        <v>79.04</v>
      </c>
      <c r="L5" s="187"/>
      <c r="M5" s="58"/>
      <c r="N5" s="206"/>
      <c r="O5" s="72">
        <f t="shared" si="2"/>
        <v>708</v>
      </c>
      <c r="P5" s="182"/>
      <c r="Q5" s="59"/>
      <c r="R5" s="184"/>
      <c r="T5" s="189"/>
    </row>
    <row r="6" spans="2:20" ht="15">
      <c r="B6" s="39"/>
      <c r="C6" s="40"/>
      <c r="D6" s="26"/>
      <c r="E6" s="41"/>
      <c r="F6" s="42"/>
      <c r="H6" s="193"/>
      <c r="J6" s="69">
        <v>11.5</v>
      </c>
      <c r="K6" s="70">
        <f t="shared" si="0"/>
        <v>0</v>
      </c>
      <c r="L6" s="188"/>
      <c r="M6" s="58"/>
      <c r="N6" s="207">
        <v>36</v>
      </c>
      <c r="O6" s="73">
        <f t="shared" si="2"/>
        <v>0</v>
      </c>
      <c r="P6" s="183"/>
      <c r="Q6" s="59"/>
      <c r="R6" s="184"/>
      <c r="T6" s="189"/>
    </row>
    <row r="7" spans="2:20" ht="15">
      <c r="B7" s="39" t="s">
        <v>3</v>
      </c>
      <c r="C7" s="40">
        <v>67.17</v>
      </c>
      <c r="D7" s="26">
        <v>471</v>
      </c>
      <c r="E7" s="41">
        <v>594</v>
      </c>
      <c r="F7" s="42">
        <f t="shared" si="1"/>
        <v>0.007012058954890576</v>
      </c>
      <c r="H7" s="194" t="s">
        <v>161</v>
      </c>
      <c r="J7" s="65"/>
      <c r="K7" s="66">
        <f t="shared" si="0"/>
        <v>55.67</v>
      </c>
      <c r="L7" s="186">
        <f>SUM(J7:K9)</f>
        <v>169.72</v>
      </c>
      <c r="M7" s="58"/>
      <c r="N7" s="205"/>
      <c r="O7" s="71">
        <f t="shared" si="2"/>
        <v>435</v>
      </c>
      <c r="P7" s="181">
        <f>SUM(N7:O9)</f>
        <v>1905</v>
      </c>
      <c r="Q7" s="59"/>
      <c r="R7" s="184">
        <f>(P7/L7)/1000</f>
        <v>0.011224369549846807</v>
      </c>
      <c r="T7" s="189">
        <v>43203</v>
      </c>
    </row>
    <row r="8" spans="2:20" ht="15">
      <c r="B8" s="39" t="s">
        <v>4</v>
      </c>
      <c r="C8" s="40">
        <v>56.05</v>
      </c>
      <c r="D8" s="26">
        <v>659</v>
      </c>
      <c r="E8" s="41">
        <v>533</v>
      </c>
      <c r="F8" s="42">
        <f t="shared" si="1"/>
        <v>0.01175735950044603</v>
      </c>
      <c r="H8" s="174"/>
      <c r="J8" s="67"/>
      <c r="K8" s="68">
        <f t="shared" si="0"/>
        <v>56.05</v>
      </c>
      <c r="L8" s="187"/>
      <c r="M8" s="58"/>
      <c r="N8" s="206"/>
      <c r="O8" s="72">
        <f t="shared" si="2"/>
        <v>659</v>
      </c>
      <c r="P8" s="182"/>
      <c r="Q8" s="59"/>
      <c r="R8" s="184"/>
      <c r="T8" s="189"/>
    </row>
    <row r="9" spans="2:20" ht="15">
      <c r="B9" s="39"/>
      <c r="C9" s="40"/>
      <c r="D9" s="26"/>
      <c r="E9" s="41"/>
      <c r="F9" s="42"/>
      <c r="H9" s="167"/>
      <c r="J9" s="69">
        <v>58</v>
      </c>
      <c r="K9" s="70">
        <f t="shared" si="0"/>
        <v>0</v>
      </c>
      <c r="L9" s="188"/>
      <c r="M9" s="58"/>
      <c r="N9" s="207">
        <v>811</v>
      </c>
      <c r="O9" s="73">
        <f t="shared" si="2"/>
        <v>0</v>
      </c>
      <c r="P9" s="183"/>
      <c r="Q9" s="59"/>
      <c r="R9" s="184"/>
      <c r="T9" s="189"/>
    </row>
    <row r="10" spans="2:20" ht="15" customHeight="1">
      <c r="B10" s="39" t="s">
        <v>5</v>
      </c>
      <c r="C10" s="40">
        <v>110.56</v>
      </c>
      <c r="D10" s="26">
        <v>2056</v>
      </c>
      <c r="E10" s="41">
        <v>1634</v>
      </c>
      <c r="F10" s="42">
        <f t="shared" si="1"/>
        <v>0.018596237337192473</v>
      </c>
      <c r="H10" s="191" t="s">
        <v>94</v>
      </c>
      <c r="J10" s="65"/>
      <c r="K10" s="66">
        <f t="shared" si="0"/>
        <v>52.56</v>
      </c>
      <c r="L10" s="186">
        <f>SUM(J10:K11)+45</f>
        <v>173.56</v>
      </c>
      <c r="M10" s="58"/>
      <c r="N10" s="205"/>
      <c r="O10" s="71">
        <f t="shared" si="2"/>
        <v>1245</v>
      </c>
      <c r="P10" s="181">
        <f>SUM(N10:O11)+45</f>
        <v>2006</v>
      </c>
      <c r="Q10" s="59"/>
      <c r="R10" s="184">
        <f>(P10/L10)/1000</f>
        <v>0.011557962664208343</v>
      </c>
      <c r="T10" s="203">
        <f>T7+1</f>
        <v>43204</v>
      </c>
    </row>
    <row r="11" spans="2:20" ht="15">
      <c r="B11" s="39"/>
      <c r="C11" s="40"/>
      <c r="D11" s="26"/>
      <c r="E11" s="41"/>
      <c r="F11" s="42"/>
      <c r="H11" s="197"/>
      <c r="J11" s="69">
        <v>76</v>
      </c>
      <c r="K11" s="70">
        <f t="shared" si="0"/>
        <v>0</v>
      </c>
      <c r="L11" s="188"/>
      <c r="M11" s="58"/>
      <c r="N11" s="207">
        <v>716</v>
      </c>
      <c r="O11" s="73">
        <f t="shared" si="2"/>
        <v>0</v>
      </c>
      <c r="P11" s="183"/>
      <c r="Q11" s="59"/>
      <c r="R11" s="184"/>
      <c r="T11" s="202"/>
    </row>
    <row r="12" spans="2:20" ht="15">
      <c r="B12" s="39" t="s">
        <v>6</v>
      </c>
      <c r="C12" s="40">
        <v>102.37</v>
      </c>
      <c r="D12" s="26">
        <v>1017</v>
      </c>
      <c r="E12" s="41">
        <v>1401</v>
      </c>
      <c r="F12" s="42">
        <f t="shared" si="1"/>
        <v>0.00993455113802872</v>
      </c>
      <c r="H12" s="198" t="s">
        <v>95</v>
      </c>
      <c r="J12" s="65"/>
      <c r="K12" s="66">
        <f t="shared" si="0"/>
        <v>26.370000000000005</v>
      </c>
      <c r="L12" s="186">
        <f>SUM(J12:K15)</f>
        <v>170.28</v>
      </c>
      <c r="M12" s="58"/>
      <c r="N12" s="205"/>
      <c r="O12" s="71">
        <f t="shared" si="2"/>
        <v>301</v>
      </c>
      <c r="P12" s="181">
        <f>SUM(N12:O15)</f>
        <v>3044</v>
      </c>
      <c r="Q12" s="59"/>
      <c r="R12" s="184">
        <f>(P12/L12)/1000</f>
        <v>0.017876438806671367</v>
      </c>
      <c r="T12" s="201">
        <f>T10+1</f>
        <v>43205</v>
      </c>
    </row>
    <row r="13" spans="2:20" ht="15" customHeight="1">
      <c r="B13" s="39" t="s">
        <v>7</v>
      </c>
      <c r="C13" s="40">
        <v>65.92</v>
      </c>
      <c r="D13" s="26">
        <v>1019</v>
      </c>
      <c r="E13" s="41">
        <v>843</v>
      </c>
      <c r="F13" s="42">
        <f t="shared" si="1"/>
        <v>0.015458131067961164</v>
      </c>
      <c r="H13" s="199"/>
      <c r="J13" s="67"/>
      <c r="K13" s="68">
        <f t="shared" si="0"/>
        <v>65.92</v>
      </c>
      <c r="L13" s="187"/>
      <c r="M13" s="58"/>
      <c r="N13" s="206"/>
      <c r="O13" s="72">
        <f t="shared" si="2"/>
        <v>1019</v>
      </c>
      <c r="P13" s="182"/>
      <c r="Q13" s="59"/>
      <c r="R13" s="184"/>
      <c r="T13" s="201"/>
    </row>
    <row r="14" spans="2:20" ht="15">
      <c r="B14" s="39" t="s">
        <v>8</v>
      </c>
      <c r="C14" s="40">
        <v>59.99</v>
      </c>
      <c r="D14" s="26">
        <v>1033</v>
      </c>
      <c r="E14" s="41">
        <v>1141</v>
      </c>
      <c r="F14" s="42">
        <f t="shared" si="1"/>
        <v>0.017219536589431574</v>
      </c>
      <c r="H14" s="199"/>
      <c r="J14" s="67"/>
      <c r="K14" s="68">
        <f t="shared" si="0"/>
        <v>59.99</v>
      </c>
      <c r="L14" s="187"/>
      <c r="M14" s="58"/>
      <c r="N14" s="206"/>
      <c r="O14" s="72">
        <f t="shared" si="2"/>
        <v>1033</v>
      </c>
      <c r="P14" s="182"/>
      <c r="Q14" s="59"/>
      <c r="R14" s="184"/>
      <c r="T14" s="201"/>
    </row>
    <row r="15" spans="2:20" ht="15">
      <c r="B15" s="39"/>
      <c r="C15" s="40"/>
      <c r="D15" s="26"/>
      <c r="E15" s="41"/>
      <c r="F15" s="42"/>
      <c r="H15" s="200"/>
      <c r="J15" s="69">
        <v>18</v>
      </c>
      <c r="K15" s="70">
        <f t="shared" si="0"/>
        <v>0</v>
      </c>
      <c r="L15" s="188"/>
      <c r="M15" s="58"/>
      <c r="N15" s="207">
        <v>691</v>
      </c>
      <c r="O15" s="73">
        <f t="shared" si="2"/>
        <v>0</v>
      </c>
      <c r="P15" s="183"/>
      <c r="Q15" s="59"/>
      <c r="R15" s="184"/>
      <c r="T15" s="202"/>
    </row>
    <row r="16" spans="2:20" ht="15">
      <c r="B16" s="39" t="s">
        <v>9</v>
      </c>
      <c r="C16" s="40">
        <v>74.91</v>
      </c>
      <c r="D16" s="26">
        <v>1134</v>
      </c>
      <c r="E16" s="41">
        <v>1112</v>
      </c>
      <c r="F16" s="42">
        <f t="shared" si="1"/>
        <v>0.01513816579895875</v>
      </c>
      <c r="H16" s="190" t="s">
        <v>96</v>
      </c>
      <c r="J16" s="65"/>
      <c r="K16" s="66">
        <f t="shared" si="0"/>
        <v>56.91</v>
      </c>
      <c r="L16" s="186">
        <f>SUM(J16:K18)</f>
        <v>138.72</v>
      </c>
      <c r="M16" s="58"/>
      <c r="N16" s="205"/>
      <c r="O16" s="71">
        <f t="shared" si="2"/>
        <v>443</v>
      </c>
      <c r="P16" s="181">
        <f>SUM(N16:O18)</f>
        <v>2010</v>
      </c>
      <c r="Q16" s="59"/>
      <c r="R16" s="184">
        <f>(P16/L16)/1000</f>
        <v>0.01448961937716263</v>
      </c>
      <c r="T16" s="189">
        <f>T12+1</f>
        <v>43206</v>
      </c>
    </row>
    <row r="17" spans="2:20" ht="15">
      <c r="B17" s="39" t="s">
        <v>10</v>
      </c>
      <c r="C17" s="40">
        <v>56.81</v>
      </c>
      <c r="D17" s="26">
        <v>1370</v>
      </c>
      <c r="E17" s="41">
        <v>508</v>
      </c>
      <c r="F17" s="42">
        <f t="shared" si="1"/>
        <v>0.02411547262805844</v>
      </c>
      <c r="H17" s="174"/>
      <c r="J17" s="67"/>
      <c r="K17" s="68">
        <f t="shared" si="0"/>
        <v>56.81</v>
      </c>
      <c r="L17" s="187"/>
      <c r="M17" s="58"/>
      <c r="N17" s="206"/>
      <c r="O17" s="72">
        <f t="shared" si="2"/>
        <v>1370</v>
      </c>
      <c r="P17" s="182"/>
      <c r="Q17" s="59"/>
      <c r="R17" s="184"/>
      <c r="T17" s="189"/>
    </row>
    <row r="18" spans="2:20" ht="15">
      <c r="B18" s="39"/>
      <c r="C18" s="40"/>
      <c r="D18" s="26"/>
      <c r="E18" s="41"/>
      <c r="F18" s="42"/>
      <c r="H18" s="167"/>
      <c r="J18" s="69">
        <v>25</v>
      </c>
      <c r="K18" s="70">
        <f t="shared" si="0"/>
        <v>0</v>
      </c>
      <c r="L18" s="188"/>
      <c r="M18" s="58"/>
      <c r="N18" s="207">
        <v>197</v>
      </c>
      <c r="O18" s="73">
        <f t="shared" si="2"/>
        <v>0</v>
      </c>
      <c r="P18" s="183"/>
      <c r="Q18" s="59"/>
      <c r="R18" s="184"/>
      <c r="T18" s="189"/>
    </row>
    <row r="19" spans="2:20" ht="15">
      <c r="B19" s="39" t="s">
        <v>11</v>
      </c>
      <c r="C19" s="40">
        <v>58.91</v>
      </c>
      <c r="D19" s="26">
        <v>1169</v>
      </c>
      <c r="E19" s="41">
        <v>1273</v>
      </c>
      <c r="F19" s="42">
        <f t="shared" si="1"/>
        <v>0.01984382957053132</v>
      </c>
      <c r="H19" s="195" t="s">
        <v>97</v>
      </c>
      <c r="J19" s="65"/>
      <c r="K19" s="66">
        <f t="shared" si="0"/>
        <v>33.91</v>
      </c>
      <c r="L19" s="186">
        <f>SUM(J19:K21)</f>
        <v>135.49</v>
      </c>
      <c r="M19" s="58"/>
      <c r="N19" s="205"/>
      <c r="O19" s="71">
        <f t="shared" si="2"/>
        <v>972</v>
      </c>
      <c r="P19" s="181">
        <f>SUM(N19:O21)</f>
        <v>3070</v>
      </c>
      <c r="Q19" s="59"/>
      <c r="R19" s="184">
        <f>(P19/L19)/1000</f>
        <v>0.022658498782197944</v>
      </c>
      <c r="T19" s="189">
        <f>T16+1</f>
        <v>43207</v>
      </c>
    </row>
    <row r="20" spans="2:20" ht="15">
      <c r="B20" s="39" t="s">
        <v>12</v>
      </c>
      <c r="C20" s="40">
        <v>58.58</v>
      </c>
      <c r="D20" s="26">
        <v>1228</v>
      </c>
      <c r="E20" s="41">
        <v>1035</v>
      </c>
      <c r="F20" s="42">
        <f t="shared" si="1"/>
        <v>0.02096278593376579</v>
      </c>
      <c r="H20" s="174"/>
      <c r="J20" s="67"/>
      <c r="K20" s="68">
        <f t="shared" si="0"/>
        <v>58.58</v>
      </c>
      <c r="L20" s="187"/>
      <c r="M20" s="58"/>
      <c r="N20" s="206"/>
      <c r="O20" s="72">
        <f t="shared" si="2"/>
        <v>1228</v>
      </c>
      <c r="P20" s="182"/>
      <c r="Q20" s="59"/>
      <c r="R20" s="184"/>
      <c r="T20" s="189"/>
    </row>
    <row r="21" spans="2:20" ht="15">
      <c r="B21" s="39"/>
      <c r="C21" s="40"/>
      <c r="D21" s="26"/>
      <c r="E21" s="41"/>
      <c r="F21" s="42"/>
      <c r="H21" s="167"/>
      <c r="J21" s="69">
        <v>43</v>
      </c>
      <c r="K21" s="70">
        <f t="shared" si="0"/>
        <v>0</v>
      </c>
      <c r="L21" s="188"/>
      <c r="M21" s="58"/>
      <c r="N21" s="207">
        <v>870</v>
      </c>
      <c r="O21" s="73">
        <f t="shared" si="2"/>
        <v>0</v>
      </c>
      <c r="P21" s="183"/>
      <c r="Q21" s="59"/>
      <c r="R21" s="184"/>
      <c r="T21" s="189"/>
    </row>
    <row r="22" spans="2:20" ht="15">
      <c r="B22" s="39" t="s">
        <v>13</v>
      </c>
      <c r="C22" s="40">
        <v>75.94</v>
      </c>
      <c r="D22" s="26">
        <v>1025</v>
      </c>
      <c r="E22" s="41">
        <v>1927</v>
      </c>
      <c r="F22" s="42">
        <f t="shared" si="1"/>
        <v>0.013497498024756386</v>
      </c>
      <c r="H22" s="191" t="s">
        <v>93</v>
      </c>
      <c r="J22" s="65"/>
      <c r="K22" s="66">
        <f t="shared" si="0"/>
        <v>32.94</v>
      </c>
      <c r="L22" s="186">
        <f>SUM(J22:K24)</f>
        <v>130.35</v>
      </c>
      <c r="M22" s="58"/>
      <c r="N22" s="205"/>
      <c r="O22" s="71">
        <f t="shared" si="2"/>
        <v>155</v>
      </c>
      <c r="P22" s="181">
        <f>SUM(N22:O24)</f>
        <v>2092</v>
      </c>
      <c r="Q22" s="59"/>
      <c r="R22" s="184">
        <f>(P22/L22)/1000</f>
        <v>0.016049098580744152</v>
      </c>
      <c r="T22" s="189">
        <f>T19+1</f>
        <v>43208</v>
      </c>
    </row>
    <row r="23" spans="2:20" ht="15">
      <c r="B23" s="39" t="s">
        <v>14</v>
      </c>
      <c r="C23" s="40">
        <v>49.41</v>
      </c>
      <c r="D23" s="26">
        <v>1025</v>
      </c>
      <c r="E23" s="41">
        <v>566</v>
      </c>
      <c r="F23" s="42">
        <f t="shared" si="1"/>
        <v>0.020744788504351346</v>
      </c>
      <c r="H23" s="192"/>
      <c r="J23" s="67"/>
      <c r="K23" s="68">
        <f t="shared" si="0"/>
        <v>49.41</v>
      </c>
      <c r="L23" s="187"/>
      <c r="M23" s="58"/>
      <c r="N23" s="206"/>
      <c r="O23" s="72">
        <f t="shared" si="2"/>
        <v>1025</v>
      </c>
      <c r="P23" s="182"/>
      <c r="Q23" s="59"/>
      <c r="R23" s="184"/>
      <c r="T23" s="189"/>
    </row>
    <row r="24" spans="2:20" ht="15">
      <c r="B24" s="39"/>
      <c r="C24" s="40"/>
      <c r="D24" s="26"/>
      <c r="E24" s="41"/>
      <c r="F24" s="42"/>
      <c r="H24" s="193"/>
      <c r="J24" s="69">
        <v>48</v>
      </c>
      <c r="K24" s="70">
        <f t="shared" si="0"/>
        <v>0</v>
      </c>
      <c r="L24" s="188"/>
      <c r="M24" s="58"/>
      <c r="N24" s="207">
        <v>912</v>
      </c>
      <c r="O24" s="73">
        <f t="shared" si="2"/>
        <v>0</v>
      </c>
      <c r="P24" s="183"/>
      <c r="Q24" s="59"/>
      <c r="R24" s="184"/>
      <c r="T24" s="189"/>
    </row>
    <row r="25" spans="2:20" ht="15">
      <c r="B25" s="39" t="s">
        <v>15</v>
      </c>
      <c r="C25" s="40">
        <v>71.85</v>
      </c>
      <c r="D25" s="26">
        <v>1448</v>
      </c>
      <c r="E25" s="41">
        <v>1652</v>
      </c>
      <c r="F25" s="42">
        <f t="shared" si="1"/>
        <v>0.020153096729297146</v>
      </c>
      <c r="H25" s="196" t="s">
        <v>159</v>
      </c>
      <c r="J25" s="65"/>
      <c r="K25" s="66">
        <f t="shared" si="0"/>
        <v>23.849999999999994</v>
      </c>
      <c r="L25" s="186">
        <f>SUM(J25:K27)</f>
        <v>140.33999999999997</v>
      </c>
      <c r="M25" s="58"/>
      <c r="N25" s="205"/>
      <c r="O25" s="71">
        <f t="shared" si="2"/>
        <v>536</v>
      </c>
      <c r="P25" s="181">
        <f>SUM(N25:O27)</f>
        <v>2939</v>
      </c>
      <c r="Q25" s="59"/>
      <c r="R25" s="184">
        <f>(P25/L25)/1000</f>
        <v>0.02094199800484538</v>
      </c>
      <c r="T25" s="189">
        <f>T22+1</f>
        <v>43209</v>
      </c>
    </row>
    <row r="26" spans="2:20" ht="15">
      <c r="B26" s="39" t="s">
        <v>16</v>
      </c>
      <c r="C26" s="40">
        <v>87.49</v>
      </c>
      <c r="D26" s="26">
        <v>1767</v>
      </c>
      <c r="E26" s="41">
        <v>2210</v>
      </c>
      <c r="F26" s="42">
        <f t="shared" si="1"/>
        <v>0.02019659389644531</v>
      </c>
      <c r="H26" s="174"/>
      <c r="J26" s="67"/>
      <c r="K26" s="68">
        <f t="shared" si="0"/>
        <v>87.49</v>
      </c>
      <c r="L26" s="187"/>
      <c r="M26" s="58"/>
      <c r="N26" s="206"/>
      <c r="O26" s="72">
        <f t="shared" si="2"/>
        <v>1767</v>
      </c>
      <c r="P26" s="182"/>
      <c r="Q26" s="59"/>
      <c r="R26" s="184"/>
      <c r="T26" s="189"/>
    </row>
    <row r="27" spans="2:20" ht="15">
      <c r="B27" s="39"/>
      <c r="C27" s="40"/>
      <c r="D27" s="26"/>
      <c r="E27" s="41"/>
      <c r="F27" s="42"/>
      <c r="H27" s="167"/>
      <c r="J27" s="69">
        <v>29</v>
      </c>
      <c r="K27" s="70">
        <f t="shared" si="0"/>
        <v>0</v>
      </c>
      <c r="L27" s="188"/>
      <c r="M27" s="58"/>
      <c r="N27" s="207">
        <v>636</v>
      </c>
      <c r="O27" s="73">
        <f t="shared" si="2"/>
        <v>0</v>
      </c>
      <c r="P27" s="183"/>
      <c r="Q27" s="59"/>
      <c r="R27" s="184"/>
      <c r="T27" s="189"/>
    </row>
    <row r="28" spans="2:20" ht="15">
      <c r="B28" s="39" t="s">
        <v>17</v>
      </c>
      <c r="C28" s="40">
        <v>34.78</v>
      </c>
      <c r="D28" s="26">
        <v>723</v>
      </c>
      <c r="E28" s="41">
        <v>273</v>
      </c>
      <c r="F28" s="42">
        <f t="shared" si="1"/>
        <v>0.020787809085681425</v>
      </c>
      <c r="H28" s="191" t="s">
        <v>160</v>
      </c>
      <c r="J28" s="65"/>
      <c r="K28" s="66">
        <f t="shared" si="0"/>
        <v>5.780000000000001</v>
      </c>
      <c r="L28" s="186">
        <f>SUM(J28:K30)</f>
        <v>144.06</v>
      </c>
      <c r="M28" s="58"/>
      <c r="N28" s="205"/>
      <c r="O28" s="71">
        <f t="shared" si="2"/>
        <v>87</v>
      </c>
      <c r="P28" s="181">
        <f>SUM(N28:O30)</f>
        <v>2406</v>
      </c>
      <c r="Q28" s="59"/>
      <c r="R28" s="184">
        <f>(P28/L28)/1000</f>
        <v>0.016701374427321947</v>
      </c>
      <c r="T28" s="189">
        <f>T25+1</f>
        <v>43210</v>
      </c>
    </row>
    <row r="29" spans="2:20" ht="15">
      <c r="B29" s="39" t="s">
        <v>18</v>
      </c>
      <c r="C29" s="40">
        <v>86.28</v>
      </c>
      <c r="D29" s="26">
        <v>1489</v>
      </c>
      <c r="E29" s="41">
        <v>1447</v>
      </c>
      <c r="F29" s="42">
        <f t="shared" si="1"/>
        <v>0.017257765414928142</v>
      </c>
      <c r="H29" s="192"/>
      <c r="J29" s="67"/>
      <c r="K29" s="68">
        <f t="shared" si="0"/>
        <v>86.28</v>
      </c>
      <c r="L29" s="187"/>
      <c r="M29" s="58"/>
      <c r="N29" s="206"/>
      <c r="O29" s="72">
        <f t="shared" si="2"/>
        <v>1489</v>
      </c>
      <c r="P29" s="182"/>
      <c r="Q29" s="59"/>
      <c r="R29" s="184"/>
      <c r="T29" s="189"/>
    </row>
    <row r="30" spans="2:20" ht="15">
      <c r="B30" s="39"/>
      <c r="C30" s="40"/>
      <c r="D30" s="26"/>
      <c r="E30" s="41"/>
      <c r="F30" s="42"/>
      <c r="H30" s="193"/>
      <c r="J30" s="69">
        <v>52</v>
      </c>
      <c r="K30" s="70">
        <f t="shared" si="0"/>
        <v>0</v>
      </c>
      <c r="L30" s="188"/>
      <c r="M30" s="58"/>
      <c r="N30" s="207">
        <v>830</v>
      </c>
      <c r="O30" s="73">
        <f t="shared" si="2"/>
        <v>0</v>
      </c>
      <c r="P30" s="183"/>
      <c r="Q30" s="59"/>
      <c r="R30" s="184"/>
      <c r="T30" s="189"/>
    </row>
    <row r="31" spans="2:20" ht="15">
      <c r="B31" s="39" t="s">
        <v>19</v>
      </c>
      <c r="C31" s="40">
        <v>70.91</v>
      </c>
      <c r="D31" s="26">
        <v>1813</v>
      </c>
      <c r="E31" s="41">
        <v>1402</v>
      </c>
      <c r="F31" s="42">
        <f t="shared" si="1"/>
        <v>0.02556762092793682</v>
      </c>
      <c r="H31" s="195" t="s">
        <v>90</v>
      </c>
      <c r="J31" s="65"/>
      <c r="K31" s="66">
        <f t="shared" si="0"/>
        <v>18.909999999999997</v>
      </c>
      <c r="L31" s="186">
        <f>SUM(J31:K33)</f>
        <v>150.67000000000002</v>
      </c>
      <c r="M31" s="58"/>
      <c r="N31" s="205"/>
      <c r="O31" s="71">
        <f t="shared" si="2"/>
        <v>983</v>
      </c>
      <c r="P31" s="181">
        <f>SUM(N31:O33)</f>
        <v>2564</v>
      </c>
      <c r="Q31" s="59"/>
      <c r="R31" s="184">
        <f>(P31/L31)/1000</f>
        <v>0.017017322625605628</v>
      </c>
      <c r="T31" s="189">
        <v>43211</v>
      </c>
    </row>
    <row r="32" spans="2:20" ht="15">
      <c r="B32" s="39" t="s">
        <v>20</v>
      </c>
      <c r="C32" s="40">
        <v>83.76</v>
      </c>
      <c r="D32" s="26">
        <v>786</v>
      </c>
      <c r="E32" s="41">
        <v>1612</v>
      </c>
      <c r="F32" s="42">
        <f t="shared" si="1"/>
        <v>0.009383954154727793</v>
      </c>
      <c r="H32" s="192"/>
      <c r="J32" s="67"/>
      <c r="K32" s="68">
        <f t="shared" si="0"/>
        <v>83.76</v>
      </c>
      <c r="L32" s="187"/>
      <c r="M32" s="58"/>
      <c r="N32" s="206"/>
      <c r="O32" s="72">
        <f t="shared" si="2"/>
        <v>786</v>
      </c>
      <c r="P32" s="182"/>
      <c r="Q32" s="59"/>
      <c r="R32" s="184"/>
      <c r="T32" s="189"/>
    </row>
    <row r="33" spans="2:20" ht="15">
      <c r="B33" s="39"/>
      <c r="C33" s="40"/>
      <c r="D33" s="26"/>
      <c r="E33" s="41"/>
      <c r="F33" s="42"/>
      <c r="H33" s="193"/>
      <c r="J33" s="69">
        <v>48</v>
      </c>
      <c r="K33" s="70">
        <f t="shared" si="0"/>
        <v>0</v>
      </c>
      <c r="L33" s="188"/>
      <c r="M33" s="58"/>
      <c r="N33" s="207">
        <v>795</v>
      </c>
      <c r="O33" s="73">
        <f t="shared" si="2"/>
        <v>0</v>
      </c>
      <c r="P33" s="183"/>
      <c r="Q33" s="59"/>
      <c r="R33" s="184"/>
      <c r="T33" s="189"/>
    </row>
    <row r="34" spans="2:20" ht="15" customHeight="1">
      <c r="B34" s="39" t="s">
        <v>21</v>
      </c>
      <c r="C34" s="40">
        <v>68.14</v>
      </c>
      <c r="D34" s="26">
        <v>1209</v>
      </c>
      <c r="E34" s="41">
        <v>977</v>
      </c>
      <c r="F34" s="42">
        <f t="shared" si="1"/>
        <v>0.0177428823011447</v>
      </c>
      <c r="H34" s="191" t="s">
        <v>160</v>
      </c>
      <c r="J34" s="65"/>
      <c r="K34" s="66">
        <f t="shared" si="0"/>
        <v>20.14</v>
      </c>
      <c r="L34" s="186">
        <f>SUM(J34:K36)</f>
        <v>127.91</v>
      </c>
      <c r="M34" s="58"/>
      <c r="N34" s="205"/>
      <c r="O34" s="71">
        <f t="shared" si="2"/>
        <v>414</v>
      </c>
      <c r="P34" s="181">
        <f>SUM(N34:O36)</f>
        <v>2943</v>
      </c>
      <c r="Q34" s="59"/>
      <c r="R34" s="179">
        <f>(P34/L34)/1000</f>
        <v>0.023008365256821203</v>
      </c>
      <c r="T34" s="189">
        <v>43212</v>
      </c>
    </row>
    <row r="35" spans="2:20" ht="15">
      <c r="B35" s="39" t="s">
        <v>22</v>
      </c>
      <c r="C35" s="40">
        <v>59.77</v>
      </c>
      <c r="D35" s="26">
        <v>1579</v>
      </c>
      <c r="E35" s="41">
        <v>1181</v>
      </c>
      <c r="F35" s="42">
        <f t="shared" si="1"/>
        <v>0.026417935419106576</v>
      </c>
      <c r="H35" s="192"/>
      <c r="J35" s="67"/>
      <c r="K35" s="68">
        <f t="shared" si="0"/>
        <v>59.77</v>
      </c>
      <c r="L35" s="187"/>
      <c r="M35" s="58"/>
      <c r="N35" s="206"/>
      <c r="O35" s="72">
        <f t="shared" si="2"/>
        <v>1579</v>
      </c>
      <c r="P35" s="182"/>
      <c r="Q35" s="59"/>
      <c r="R35" s="180"/>
      <c r="T35" s="189"/>
    </row>
    <row r="36" spans="2:20" ht="15">
      <c r="B36" s="39"/>
      <c r="C36" s="43"/>
      <c r="D36" s="44"/>
      <c r="E36" s="45"/>
      <c r="F36" s="46"/>
      <c r="H36" s="193"/>
      <c r="J36" s="69">
        <v>48</v>
      </c>
      <c r="K36" s="70">
        <f t="shared" si="0"/>
        <v>0</v>
      </c>
      <c r="L36" s="188"/>
      <c r="M36" s="58"/>
      <c r="N36" s="207">
        <v>950</v>
      </c>
      <c r="O36" s="73">
        <f t="shared" si="2"/>
        <v>0</v>
      </c>
      <c r="P36" s="183"/>
      <c r="Q36" s="59"/>
      <c r="R36" s="180"/>
      <c r="T36" s="189"/>
    </row>
    <row r="37" spans="2:20" ht="30.75" thickBot="1">
      <c r="B37" s="39" t="s">
        <v>23</v>
      </c>
      <c r="C37" s="47">
        <v>78.56</v>
      </c>
      <c r="D37" s="48">
        <v>2128</v>
      </c>
      <c r="E37" s="49">
        <v>2484</v>
      </c>
      <c r="F37" s="46">
        <f t="shared" si="1"/>
        <v>0.027087576374745417</v>
      </c>
      <c r="H37" s="78" t="s">
        <v>98</v>
      </c>
      <c r="J37" s="62"/>
      <c r="K37" s="63">
        <f t="shared" si="0"/>
        <v>30.560000000000002</v>
      </c>
      <c r="L37" s="64">
        <f>SUM(K37)</f>
        <v>30.560000000000002</v>
      </c>
      <c r="M37" s="58"/>
      <c r="N37" s="204"/>
      <c r="O37" s="74">
        <f t="shared" si="2"/>
        <v>1178</v>
      </c>
      <c r="P37" s="75">
        <f>SUM(O37)</f>
        <v>1178</v>
      </c>
      <c r="Q37" s="59"/>
      <c r="R37" s="77">
        <f>(P37/L37)/1000</f>
        <v>0.03854712041884817</v>
      </c>
      <c r="T37" s="57">
        <v>43213</v>
      </c>
    </row>
    <row r="38" spans="2:6" ht="15.75" thickBot="1">
      <c r="B38" s="50"/>
      <c r="C38" s="51">
        <f>SUM(C3:C37)</f>
        <v>1707.0800000000002</v>
      </c>
      <c r="D38" s="52">
        <f>SUM(D3:D37)</f>
        <v>28674</v>
      </c>
      <c r="E38" s="53">
        <f>SUM(E3:E37)</f>
        <v>28185</v>
      </c>
      <c r="F38" s="54">
        <f>(D38/(C38*1000))</f>
        <v>0.016797103826417036</v>
      </c>
    </row>
  </sheetData>
  <sheetProtection/>
  <mergeCells count="56">
    <mergeCell ref="H10:H11"/>
    <mergeCell ref="H12:H15"/>
    <mergeCell ref="T19:T21"/>
    <mergeCell ref="L28:L30"/>
    <mergeCell ref="T28:T30"/>
    <mergeCell ref="T12:T15"/>
    <mergeCell ref="L12:L15"/>
    <mergeCell ref="T10:T11"/>
    <mergeCell ref="L10:L11"/>
    <mergeCell ref="T16:T18"/>
    <mergeCell ref="H7:H9"/>
    <mergeCell ref="H34:H36"/>
    <mergeCell ref="T3:T6"/>
    <mergeCell ref="T7:T9"/>
    <mergeCell ref="L3:L6"/>
    <mergeCell ref="H3:H6"/>
    <mergeCell ref="H19:H21"/>
    <mergeCell ref="H31:H33"/>
    <mergeCell ref="H25:H27"/>
    <mergeCell ref="H28:H30"/>
    <mergeCell ref="T25:T27"/>
    <mergeCell ref="L19:L21"/>
    <mergeCell ref="L22:L24"/>
    <mergeCell ref="L16:L18"/>
    <mergeCell ref="H16:H18"/>
    <mergeCell ref="H22:H24"/>
    <mergeCell ref="P19:P21"/>
    <mergeCell ref="R25:R27"/>
    <mergeCell ref="R22:R24"/>
    <mergeCell ref="L34:L36"/>
    <mergeCell ref="T34:T36"/>
    <mergeCell ref="L25:L27"/>
    <mergeCell ref="L31:L33"/>
    <mergeCell ref="T31:T33"/>
    <mergeCell ref="T22:T24"/>
    <mergeCell ref="P22:P24"/>
    <mergeCell ref="P25:P27"/>
    <mergeCell ref="P28:P30"/>
    <mergeCell ref="P31:P33"/>
    <mergeCell ref="J1:L1"/>
    <mergeCell ref="P3:P6"/>
    <mergeCell ref="P7:P9"/>
    <mergeCell ref="P10:P11"/>
    <mergeCell ref="P12:P15"/>
    <mergeCell ref="P16:P18"/>
    <mergeCell ref="L7:L9"/>
    <mergeCell ref="R34:R36"/>
    <mergeCell ref="P34:P36"/>
    <mergeCell ref="R3:R6"/>
    <mergeCell ref="R19:R21"/>
    <mergeCell ref="R16:R18"/>
    <mergeCell ref="R12:R15"/>
    <mergeCell ref="R10:R11"/>
    <mergeCell ref="R7:R9"/>
    <mergeCell ref="R31:R33"/>
    <mergeCell ref="R28:R30"/>
  </mergeCells>
  <conditionalFormatting sqref="F3:F38">
    <cfRule type="top10" priority="54" dxfId="15" stopIfTrue="1" rank="35" bottom="1" percent="1"/>
    <cfRule type="top10" priority="55" dxfId="16" stopIfTrue="1" rank="35" percent="1"/>
  </conditionalFormatting>
  <conditionalFormatting sqref="R2:R34 R37">
    <cfRule type="top10" priority="1" dxfId="15" stopIfTrue="1" rank="35" bottom="1" percent="1"/>
    <cfRule type="top10" priority="2" dxfId="16" stopIfTrue="1" rank="35" percent="1"/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f62573</dc:creator>
  <cp:keywords/>
  <dc:description/>
  <cp:lastModifiedBy>Stéphane</cp:lastModifiedBy>
  <cp:lastPrinted>2018-04-03T08:40:48Z</cp:lastPrinted>
  <dcterms:created xsi:type="dcterms:W3CDTF">2017-03-24T06:42:52Z</dcterms:created>
  <dcterms:modified xsi:type="dcterms:W3CDTF">2018-10-21T06:15:47Z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